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ropbox\Granty\NCN - COVID costs\merits\publikacje\syst rev\Submissions\AHEHP\"/>
    </mc:Choice>
  </mc:AlternateContent>
  <xr:revisionPtr revIDLastSave="0" documentId="13_ncr:1_{703B83DE-E168-418F-8994-0DB7932FC692}" xr6:coauthVersionLast="47" xr6:coauthVersionMax="47" xr10:uidLastSave="{00000000-0000-0000-0000-000000000000}"/>
  <bookViews>
    <workbookView xWindow="-108" yWindow="-108" windowWidth="23256" windowHeight="12456" xr2:uid="{1A55533A-D6C1-834D-87EB-D6523380F309}"/>
  </bookViews>
  <sheets>
    <sheet name="Info" sheetId="47" r:id="rId1"/>
    <sheet name="Read_me" sheetId="46" r:id="rId2"/>
    <sheet name="Tot_val" sheetId="31" r:id="rId3"/>
    <sheet name="Age_int" sheetId="2" r:id="rId4"/>
    <sheet name="IMF" sheetId="39" r:id="rId5"/>
    <sheet name="GSDP_India" sheetId="30" r:id="rId6"/>
    <sheet name="GDSP_USA" sheetId="45" r:id="rId7"/>
    <sheet name="Exch_rates" sheetId="41" r:id="rId8"/>
    <sheet name="ID_2" sheetId="3" r:id="rId9"/>
    <sheet name="ID_3" sheetId="32" r:id="rId10"/>
    <sheet name="ID_6" sheetId="37" r:id="rId11"/>
    <sheet name="ID_7" sheetId="36" r:id="rId12"/>
    <sheet name="ID_8" sheetId="35" r:id="rId13"/>
    <sheet name="ID_9" sheetId="34" r:id="rId14"/>
    <sheet name="ID_10" sheetId="4" r:id="rId15"/>
    <sheet name="ID_11" sheetId="7" r:id="rId16"/>
    <sheet name="ID_12" sheetId="8" r:id="rId17"/>
    <sheet name="ID_13" sheetId="21" r:id="rId18"/>
    <sheet name="ID_14" sheetId="22" r:id="rId19"/>
    <sheet name="ID_15" sheetId="9" r:id="rId20"/>
    <sheet name="ID_16" sheetId="23" r:id="rId21"/>
    <sheet name="ID_17" sheetId="24" r:id="rId22"/>
    <sheet name="ID_18" sheetId="25" r:id="rId23"/>
    <sheet name="ID_19" sheetId="26" r:id="rId24"/>
    <sheet name="ID_20" sheetId="27" r:id="rId25"/>
    <sheet name="ID_21" sheetId="10" r:id="rId26"/>
    <sheet name="ID_22" sheetId="28" r:id="rId27"/>
    <sheet name="ID_23" sheetId="29" r:id="rId28"/>
    <sheet name="ID_24" sheetId="33" r:id="rId29"/>
    <sheet name="ID_25" sheetId="11" r:id="rId30"/>
    <sheet name="ID_26" sheetId="18" r:id="rId31"/>
    <sheet name="ID_27" sheetId="17" r:id="rId32"/>
    <sheet name="ID_29" sheetId="43" r:id="rId33"/>
    <sheet name="ID_30" sheetId="12" r:id="rId34"/>
    <sheet name="ID_31" sheetId="44" r:id="rId35"/>
    <sheet name="ID_32" sheetId="40" r:id="rId36"/>
    <sheet name="ID_33" sheetId="20" r:id="rId37"/>
    <sheet name="ID_34" sheetId="13" r:id="rId38"/>
    <sheet name="ID_35" sheetId="15" r:id="rId39"/>
    <sheet name="ID_36" sheetId="6" r:id="rId40"/>
    <sheet name="ID_38" sheetId="42" r:id="rId4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6" l="1"/>
  <c r="AG14" i="31" l="1"/>
  <c r="AH14" i="31"/>
  <c r="A11" i="45"/>
  <c r="C4" i="45"/>
  <c r="B4" i="45"/>
  <c r="B22" i="44" l="1"/>
  <c r="N100" i="2" s="1"/>
  <c r="B23" i="44"/>
  <c r="N101" i="2" s="1"/>
  <c r="B21" i="44"/>
  <c r="N99" i="2" s="1"/>
  <c r="N102" i="2" l="1"/>
  <c r="Q117" i="31" s="1"/>
  <c r="H3" i="34"/>
  <c r="G8" i="34" s="1"/>
  <c r="Q22" i="31" s="1"/>
  <c r="E3" i="34"/>
  <c r="D8" i="34" s="1"/>
  <c r="AN22" i="31" s="1"/>
  <c r="B3" i="34"/>
  <c r="E7" i="32"/>
  <c r="D12" i="32" s="1"/>
  <c r="AN6" i="31" s="1"/>
  <c r="AO116" i="31" l="1"/>
  <c r="AC117" i="31"/>
  <c r="I77" i="39"/>
  <c r="B15" i="43" s="1"/>
  <c r="D9" i="43"/>
  <c r="Y113" i="31" s="1"/>
  <c r="AO113" i="31" s="1"/>
  <c r="B9" i="43"/>
  <c r="Y112" i="31" s="1"/>
  <c r="AO112" i="31" s="1"/>
  <c r="I20" i="39"/>
  <c r="H20" i="39"/>
  <c r="B4" i="42"/>
  <c r="B12" i="42" s="1"/>
  <c r="T129" i="31" s="1"/>
  <c r="AO129" i="31" s="1"/>
  <c r="B5" i="42"/>
  <c r="B13" i="42" s="1"/>
  <c r="T130" i="31" s="1"/>
  <c r="AO130" i="31" s="1"/>
  <c r="B6" i="42"/>
  <c r="B14" i="42" s="1"/>
  <c r="T131" i="31" s="1"/>
  <c r="AO131" i="31" s="1"/>
  <c r="G27" i="35" l="1"/>
  <c r="AH19" i="31" s="1"/>
  <c r="F27" i="35"/>
  <c r="AG19" i="31" s="1"/>
  <c r="C27" i="35"/>
  <c r="V19" i="31" s="1"/>
  <c r="B27" i="35"/>
  <c r="U19" i="31" s="1"/>
  <c r="H69" i="39"/>
  <c r="H55" i="39"/>
  <c r="H34" i="39"/>
  <c r="G34" i="39"/>
  <c r="AR129" i="31" s="1"/>
  <c r="G55" i="39"/>
  <c r="G69" i="39"/>
  <c r="H77" i="39"/>
  <c r="C11" i="40"/>
  <c r="T119" i="31" s="1"/>
  <c r="A11" i="40"/>
  <c r="Q119" i="31" s="1"/>
  <c r="C32" i="6"/>
  <c r="C41" i="6" s="1"/>
  <c r="M121" i="2" s="1"/>
  <c r="R24" i="6"/>
  <c r="O32" i="6" s="1"/>
  <c r="R23" i="6"/>
  <c r="O31" i="6" s="1"/>
  <c r="Q24" i="6"/>
  <c r="N32" i="6" s="1"/>
  <c r="Q23" i="6"/>
  <c r="I24" i="6"/>
  <c r="K32" i="6" s="1"/>
  <c r="I23" i="6"/>
  <c r="H24" i="6"/>
  <c r="J32" i="6" s="1"/>
  <c r="H23" i="6"/>
  <c r="M24" i="6"/>
  <c r="M23" i="6"/>
  <c r="O30" i="6" s="1"/>
  <c r="L24" i="6"/>
  <c r="L23" i="6"/>
  <c r="N30" i="6" s="1"/>
  <c r="D24" i="6"/>
  <c r="D23" i="6"/>
  <c r="K30" i="6" s="1"/>
  <c r="C24" i="6"/>
  <c r="J31" i="6" s="1"/>
  <c r="C23" i="6"/>
  <c r="J30" i="6" s="1"/>
  <c r="Q17" i="6"/>
  <c r="I13" i="39"/>
  <c r="I38" i="6" s="1"/>
  <c r="H13" i="39"/>
  <c r="K38" i="6" s="1"/>
  <c r="G10" i="6"/>
  <c r="G9" i="6"/>
  <c r="R18" i="6" s="1"/>
  <c r="G8" i="6"/>
  <c r="G7" i="6"/>
  <c r="M18" i="6" s="1"/>
  <c r="G6" i="6"/>
  <c r="G5" i="6"/>
  <c r="F10" i="6"/>
  <c r="F9" i="6"/>
  <c r="Q18" i="6" s="1"/>
  <c r="F8" i="6"/>
  <c r="F7" i="6"/>
  <c r="L18" i="6" s="1"/>
  <c r="F31" i="6" s="1"/>
  <c r="F40" i="6" s="1"/>
  <c r="P120" i="2" s="1"/>
  <c r="F6" i="6"/>
  <c r="F5" i="6"/>
  <c r="C10" i="6"/>
  <c r="C9" i="6"/>
  <c r="I18" i="6" s="1"/>
  <c r="C8" i="6"/>
  <c r="C7" i="6"/>
  <c r="D18" i="6" s="1"/>
  <c r="C6" i="6"/>
  <c r="C5" i="6"/>
  <c r="B10" i="6"/>
  <c r="B9" i="6"/>
  <c r="H17" i="6" s="1"/>
  <c r="B8" i="6"/>
  <c r="B7" i="6"/>
  <c r="C17" i="6" s="1"/>
  <c r="B6" i="6"/>
  <c r="B7" i="15"/>
  <c r="AR130" i="31" l="1"/>
  <c r="K31" i="6"/>
  <c r="N31" i="6"/>
  <c r="W19" i="31"/>
  <c r="AR19" i="31" s="1"/>
  <c r="G32" i="6"/>
  <c r="G41" i="6" s="1"/>
  <c r="Q121" i="2" s="1"/>
  <c r="F32" i="6"/>
  <c r="F41" i="6" s="1"/>
  <c r="P121" i="2" s="1"/>
  <c r="AR131" i="31"/>
  <c r="B30" i="6"/>
  <c r="B39" i="6" s="1"/>
  <c r="L119" i="2" s="1"/>
  <c r="E11" i="40"/>
  <c r="D15" i="43"/>
  <c r="L17" i="6"/>
  <c r="F30" i="6" s="1"/>
  <c r="F39" i="6" s="1"/>
  <c r="P119" i="2" s="1"/>
  <c r="D17" i="6"/>
  <c r="C30" i="6" s="1"/>
  <c r="C39" i="6" s="1"/>
  <c r="M119" i="2" s="1"/>
  <c r="AI19" i="31"/>
  <c r="M17" i="6"/>
  <c r="G30" i="6" s="1"/>
  <c r="G39" i="6" s="1"/>
  <c r="Q119" i="2" s="1"/>
  <c r="H18" i="6"/>
  <c r="B32" i="6" s="1"/>
  <c r="B41" i="6" s="1"/>
  <c r="L121" i="2" s="1"/>
  <c r="I17" i="6"/>
  <c r="C31" i="6" s="1"/>
  <c r="C40" i="6" s="1"/>
  <c r="M120" i="2" s="1"/>
  <c r="R17" i="6"/>
  <c r="G31" i="6" s="1"/>
  <c r="G40" i="6" s="1"/>
  <c r="Q120" i="2" s="1"/>
  <c r="C18" i="6"/>
  <c r="B31" i="6" s="1"/>
  <c r="B40" i="6" s="1"/>
  <c r="L120" i="2" s="1"/>
  <c r="F13" i="15"/>
  <c r="E10" i="15"/>
  <c r="H7" i="15"/>
  <c r="C18" i="15"/>
  <c r="B20" i="15"/>
  <c r="I23" i="15"/>
  <c r="I22" i="15"/>
  <c r="I21" i="15"/>
  <c r="I20" i="15"/>
  <c r="I19" i="15"/>
  <c r="I18" i="15"/>
  <c r="I17" i="15"/>
  <c r="I16" i="15"/>
  <c r="I15" i="15"/>
  <c r="I14" i="15"/>
  <c r="I13" i="15"/>
  <c r="I12" i="15"/>
  <c r="I11" i="15"/>
  <c r="I10" i="15"/>
  <c r="I9" i="15"/>
  <c r="I8" i="15"/>
  <c r="I7" i="15"/>
  <c r="I6" i="15"/>
  <c r="H23" i="15"/>
  <c r="H22" i="15"/>
  <c r="H21" i="15"/>
  <c r="H20" i="15"/>
  <c r="H19" i="15"/>
  <c r="F33" i="15" s="1"/>
  <c r="B43" i="15" s="1"/>
  <c r="H18" i="15"/>
  <c r="H17" i="15"/>
  <c r="H16" i="15"/>
  <c r="H15" i="15"/>
  <c r="H14" i="15"/>
  <c r="H13" i="15"/>
  <c r="H12" i="15"/>
  <c r="H11" i="15"/>
  <c r="H10" i="15"/>
  <c r="H9" i="15"/>
  <c r="H8" i="15"/>
  <c r="H6" i="15"/>
  <c r="F23" i="15"/>
  <c r="F14" i="15"/>
  <c r="F15" i="15"/>
  <c r="F16" i="15"/>
  <c r="F17" i="15"/>
  <c r="F18" i="15"/>
  <c r="F19" i="15"/>
  <c r="F20" i="15"/>
  <c r="F21" i="15"/>
  <c r="F22" i="15"/>
  <c r="F12" i="15"/>
  <c r="F11" i="15"/>
  <c r="F10" i="15"/>
  <c r="F9" i="15"/>
  <c r="F8" i="15"/>
  <c r="F7" i="15"/>
  <c r="F6" i="15"/>
  <c r="E23" i="15"/>
  <c r="E22" i="15"/>
  <c r="E21" i="15"/>
  <c r="E20" i="15"/>
  <c r="E19" i="15"/>
  <c r="E18" i="15"/>
  <c r="E17" i="15"/>
  <c r="E16" i="15"/>
  <c r="E15" i="15"/>
  <c r="E14" i="15"/>
  <c r="E13" i="15"/>
  <c r="E12" i="15"/>
  <c r="E11" i="15"/>
  <c r="E9" i="15"/>
  <c r="E8" i="15"/>
  <c r="E7" i="15"/>
  <c r="E6" i="15"/>
  <c r="C23" i="15"/>
  <c r="C22" i="15"/>
  <c r="C21" i="15"/>
  <c r="C20" i="15"/>
  <c r="C19" i="15"/>
  <c r="C17" i="15"/>
  <c r="C16" i="15"/>
  <c r="C15" i="15"/>
  <c r="C14" i="15"/>
  <c r="C13" i="15"/>
  <c r="C12" i="15"/>
  <c r="C11" i="15"/>
  <c r="C10" i="15"/>
  <c r="C9" i="15"/>
  <c r="C8" i="15"/>
  <c r="C7" i="15"/>
  <c r="C6" i="15"/>
  <c r="B23" i="15"/>
  <c r="B22" i="15"/>
  <c r="B21" i="15"/>
  <c r="B19" i="15"/>
  <c r="B18" i="15"/>
  <c r="B17" i="15"/>
  <c r="B16" i="15"/>
  <c r="B15" i="15"/>
  <c r="B32" i="15" s="1"/>
  <c r="J41" i="15" s="1"/>
  <c r="B14" i="15"/>
  <c r="B13" i="15"/>
  <c r="B12" i="15"/>
  <c r="B11" i="15"/>
  <c r="B10" i="15"/>
  <c r="B9" i="15"/>
  <c r="B8" i="15"/>
  <c r="B6" i="15"/>
  <c r="I35" i="39"/>
  <c r="A47" i="15" s="1"/>
  <c r="H35" i="39"/>
  <c r="C47" i="15" s="1"/>
  <c r="K17" i="20"/>
  <c r="K16" i="20"/>
  <c r="K15" i="20"/>
  <c r="H17" i="20"/>
  <c r="H16" i="20"/>
  <c r="H15" i="20"/>
  <c r="E17" i="20"/>
  <c r="E26" i="20" s="1"/>
  <c r="R106" i="2" s="1"/>
  <c r="E16" i="20"/>
  <c r="E25" i="20" s="1"/>
  <c r="R105" i="2" s="1"/>
  <c r="E15" i="20"/>
  <c r="E24" i="20" s="1"/>
  <c r="R104" i="2" s="1"/>
  <c r="B17" i="20"/>
  <c r="B26" i="20" s="1"/>
  <c r="N106" i="2" s="1"/>
  <c r="B16" i="20"/>
  <c r="B25" i="20" s="1"/>
  <c r="N105" i="2" s="1"/>
  <c r="B15" i="20"/>
  <c r="B24" i="20" s="1"/>
  <c r="N104" i="2" s="1"/>
  <c r="D36" i="12"/>
  <c r="AC115" i="31" s="1"/>
  <c r="E30" i="12"/>
  <c r="F19" i="12"/>
  <c r="F20" i="12" s="1"/>
  <c r="G20" i="12" s="1"/>
  <c r="E29" i="12" s="1"/>
  <c r="B30" i="12"/>
  <c r="B39" i="12" s="1"/>
  <c r="N96" i="2" s="1"/>
  <c r="J43" i="39"/>
  <c r="F36" i="12" s="1"/>
  <c r="I43" i="39"/>
  <c r="H36" i="12" s="1"/>
  <c r="H43" i="39"/>
  <c r="J36" i="12" s="1"/>
  <c r="E20" i="17"/>
  <c r="E19" i="17"/>
  <c r="E18" i="17"/>
  <c r="B20" i="17"/>
  <c r="B29" i="17" s="1"/>
  <c r="N91" i="2" s="1"/>
  <c r="AD91" i="2" s="1"/>
  <c r="B19" i="17"/>
  <c r="B28" i="17" s="1"/>
  <c r="N90" i="2" s="1"/>
  <c r="AD90" i="2" s="1"/>
  <c r="B18" i="17"/>
  <c r="B27" i="17" s="1"/>
  <c r="N89" i="2" s="1"/>
  <c r="I39" i="39"/>
  <c r="F26" i="17" s="1"/>
  <c r="H39" i="39"/>
  <c r="H26" i="17" s="1"/>
  <c r="G39" i="39"/>
  <c r="E25" i="18"/>
  <c r="E24" i="18"/>
  <c r="E23" i="18"/>
  <c r="B25" i="18"/>
  <c r="B24" i="18"/>
  <c r="B23" i="18"/>
  <c r="AH105" i="2" l="1"/>
  <c r="AH106" i="2"/>
  <c r="AD89" i="2"/>
  <c r="B31" i="15"/>
  <c r="J40" i="15" s="1"/>
  <c r="C32" i="15"/>
  <c r="K41" i="15" s="1"/>
  <c r="D32" i="15"/>
  <c r="F42" i="15" s="1"/>
  <c r="G33" i="15"/>
  <c r="C43" i="15" s="1"/>
  <c r="E33" i="15"/>
  <c r="G43" i="15" s="1"/>
  <c r="D31" i="15"/>
  <c r="F41" i="15" s="1"/>
  <c r="F31" i="15"/>
  <c r="B41" i="15" s="1"/>
  <c r="L114" i="2" s="1"/>
  <c r="E32" i="15"/>
  <c r="G42" i="15" s="1"/>
  <c r="M115" i="2" s="1"/>
  <c r="E31" i="15"/>
  <c r="G41" i="15" s="1"/>
  <c r="G31" i="15"/>
  <c r="C41" i="15" s="1"/>
  <c r="B33" i="15"/>
  <c r="J42" i="15" s="1"/>
  <c r="C31" i="15"/>
  <c r="K40" i="15" s="1"/>
  <c r="C33" i="15"/>
  <c r="K42" i="15" s="1"/>
  <c r="D33" i="15"/>
  <c r="F43" i="15" s="1"/>
  <c r="F32" i="15"/>
  <c r="B42" i="15" s="1"/>
  <c r="G32" i="15"/>
  <c r="C42" i="15" s="1"/>
  <c r="AD104" i="2"/>
  <c r="AD106" i="2"/>
  <c r="AD105" i="2"/>
  <c r="AH104" i="2"/>
  <c r="G19" i="12"/>
  <c r="E28" i="12" s="1"/>
  <c r="B34" i="18"/>
  <c r="N86" i="2" s="1"/>
  <c r="AD86" i="2" s="1"/>
  <c r="B33" i="18"/>
  <c r="N85" i="2" s="1"/>
  <c r="AD85" i="2" s="1"/>
  <c r="B32" i="18"/>
  <c r="N84" i="2" s="1"/>
  <c r="AD84" i="2" s="1"/>
  <c r="I64" i="39"/>
  <c r="F31" i="18" s="1"/>
  <c r="H64" i="39"/>
  <c r="H31" i="18" s="1"/>
  <c r="AC107" i="31"/>
  <c r="B23" i="11"/>
  <c r="N81" i="2" s="1"/>
  <c r="AC50" i="31"/>
  <c r="B19" i="29"/>
  <c r="N76" i="2" s="1"/>
  <c r="B18" i="29"/>
  <c r="N75" i="2" s="1"/>
  <c r="B17" i="29"/>
  <c r="N74" i="2" s="1"/>
  <c r="AC48" i="31"/>
  <c r="B18" i="28"/>
  <c r="N71" i="2" s="1"/>
  <c r="B17" i="28"/>
  <c r="N70" i="2" s="1"/>
  <c r="B16" i="28"/>
  <c r="N69" i="2" s="1"/>
  <c r="AC46" i="31"/>
  <c r="AC44" i="31"/>
  <c r="AC42" i="31"/>
  <c r="AC40" i="31"/>
  <c r="AC38" i="31"/>
  <c r="AC36" i="31"/>
  <c r="AC34" i="31"/>
  <c r="AC32" i="31"/>
  <c r="AI4" i="31"/>
  <c r="AC4" i="31"/>
  <c r="AC30" i="31"/>
  <c r="AC28" i="31"/>
  <c r="B19" i="27"/>
  <c r="N61" i="2" s="1"/>
  <c r="B18" i="27"/>
  <c r="N60" i="2" s="1"/>
  <c r="B17" i="27"/>
  <c r="N59" i="2" s="1"/>
  <c r="B18" i="26"/>
  <c r="N56" i="2" s="1"/>
  <c r="B17" i="26"/>
  <c r="N55" i="2" s="1"/>
  <c r="B16" i="26"/>
  <c r="N54" i="2" s="1"/>
  <c r="B18" i="25"/>
  <c r="N51" i="2" s="1"/>
  <c r="B17" i="25"/>
  <c r="N50" i="2" s="1"/>
  <c r="B16" i="25"/>
  <c r="N49" i="2" s="1"/>
  <c r="B16" i="24"/>
  <c r="N44" i="2" s="1"/>
  <c r="B18" i="24"/>
  <c r="N46" i="2" s="1"/>
  <c r="B17" i="24"/>
  <c r="N45" i="2" s="1"/>
  <c r="B19" i="23"/>
  <c r="N41" i="2" s="1"/>
  <c r="B18" i="23"/>
  <c r="N40" i="2" s="1"/>
  <c r="B17" i="23"/>
  <c r="N39" i="2" s="1"/>
  <c r="B19" i="22"/>
  <c r="N31" i="2" s="1"/>
  <c r="B18" i="22"/>
  <c r="N30" i="2" s="1"/>
  <c r="B17" i="22"/>
  <c r="N29" i="2" s="1"/>
  <c r="B20" i="21"/>
  <c r="N26" i="2" s="1"/>
  <c r="B19" i="21"/>
  <c r="N25" i="2" s="1"/>
  <c r="B18" i="21"/>
  <c r="N24" i="2" s="1"/>
  <c r="A8" i="37"/>
  <c r="M116" i="2" l="1"/>
  <c r="L115" i="2"/>
  <c r="L116" i="2"/>
  <c r="M114" i="2"/>
  <c r="N87" i="2"/>
  <c r="Q109" i="31" l="1"/>
  <c r="AD87" i="2"/>
  <c r="AC109" i="31" s="1"/>
  <c r="G28" i="35"/>
  <c r="F28" i="35"/>
  <c r="G26" i="35"/>
  <c r="F26" i="35"/>
  <c r="G25" i="35"/>
  <c r="F25" i="35"/>
  <c r="G24" i="35"/>
  <c r="F24" i="35"/>
  <c r="G23" i="35"/>
  <c r="F23" i="35"/>
  <c r="G21" i="35"/>
  <c r="F21" i="35"/>
  <c r="G20" i="35"/>
  <c r="F20" i="35"/>
  <c r="C28" i="35"/>
  <c r="B28" i="35"/>
  <c r="C26" i="35"/>
  <c r="B26" i="35"/>
  <c r="C25" i="35"/>
  <c r="B25" i="35"/>
  <c r="C24" i="35"/>
  <c r="B24" i="35"/>
  <c r="C23" i="35"/>
  <c r="B23" i="35"/>
  <c r="C21" i="35"/>
  <c r="B21" i="35"/>
  <c r="C20" i="35"/>
  <c r="B20" i="35"/>
  <c r="E10" i="36"/>
  <c r="D10" i="36"/>
  <c r="B10" i="36"/>
  <c r="A10" i="36"/>
  <c r="H30" i="39"/>
  <c r="C9" i="37" s="1"/>
  <c r="B7" i="32" l="1"/>
  <c r="A12" i="32" s="1"/>
  <c r="AN5" i="31" s="1"/>
  <c r="AO5" i="31" s="1"/>
  <c r="P14" i="3" l="1"/>
  <c r="P15" i="3" s="1"/>
  <c r="R15" i="3" s="1"/>
  <c r="G25" i="3" s="1"/>
  <c r="U6" i="2" s="1"/>
  <c r="K14" i="3"/>
  <c r="L14" i="3" s="1"/>
  <c r="F23" i="3" s="1"/>
  <c r="T4" i="2" s="1"/>
  <c r="G35" i="39"/>
  <c r="G79" i="39"/>
  <c r="G78" i="39"/>
  <c r="G75" i="39"/>
  <c r="G73" i="39"/>
  <c r="G72" i="39"/>
  <c r="G71" i="39"/>
  <c r="G68" i="39"/>
  <c r="G67" i="39"/>
  <c r="G65" i="39"/>
  <c r="G64" i="39"/>
  <c r="G63" i="39"/>
  <c r="G62" i="39"/>
  <c r="G61" i="39"/>
  <c r="G60" i="39"/>
  <c r="G59" i="39"/>
  <c r="G58" i="39"/>
  <c r="G54" i="39"/>
  <c r="G53" i="39"/>
  <c r="G51" i="39"/>
  <c r="G50" i="39"/>
  <c r="G49" i="39"/>
  <c r="G47" i="39"/>
  <c r="AR116" i="31" s="1"/>
  <c r="G46" i="39"/>
  <c r="G45" i="39"/>
  <c r="G44" i="39"/>
  <c r="G43" i="39"/>
  <c r="G42" i="39"/>
  <c r="G41" i="39"/>
  <c r="G40" i="39"/>
  <c r="G33" i="39"/>
  <c r="G32" i="39"/>
  <c r="G31" i="39"/>
  <c r="G29" i="39"/>
  <c r="G28" i="39"/>
  <c r="G26" i="39"/>
  <c r="G24" i="39"/>
  <c r="G23" i="39"/>
  <c r="G22" i="39"/>
  <c r="G21" i="39"/>
  <c r="G19" i="39"/>
  <c r="G57" i="39"/>
  <c r="G18" i="39"/>
  <c r="G16" i="39"/>
  <c r="G15" i="39"/>
  <c r="G14" i="39"/>
  <c r="G12" i="39"/>
  <c r="G11" i="39"/>
  <c r="G10" i="39"/>
  <c r="G8" i="39"/>
  <c r="G7" i="39"/>
  <c r="G5" i="39"/>
  <c r="G4" i="39"/>
  <c r="G38" i="39"/>
  <c r="G9" i="39"/>
  <c r="G36" i="39"/>
  <c r="G76" i="39"/>
  <c r="G13" i="39"/>
  <c r="Q14" i="3" l="1"/>
  <c r="Q15" i="3"/>
  <c r="F25" i="3" s="1"/>
  <c r="T6" i="2" s="1"/>
  <c r="R14" i="3"/>
  <c r="M14" i="3"/>
  <c r="G23" i="3" s="1"/>
  <c r="U4" i="2" s="1"/>
  <c r="K15" i="3"/>
  <c r="G77" i="39"/>
  <c r="G17" i="39"/>
  <c r="G70" i="39"/>
  <c r="G66" i="39"/>
  <c r="G56" i="39"/>
  <c r="G52" i="39"/>
  <c r="G37" i="39"/>
  <c r="G27" i="39"/>
  <c r="G6" i="39"/>
  <c r="G74" i="39"/>
  <c r="G30" i="39"/>
  <c r="G48" i="39"/>
  <c r="G20" i="39"/>
  <c r="AR113" i="31" l="1"/>
  <c r="AR112" i="31"/>
  <c r="M15" i="3"/>
  <c r="G24" i="3" s="1"/>
  <c r="U5" i="2" s="1"/>
  <c r="L15" i="3"/>
  <c r="F24" i="3" s="1"/>
  <c r="T5" i="2" s="1"/>
  <c r="Z8" i="31"/>
  <c r="AA10" i="31"/>
  <c r="AB10" i="31"/>
  <c r="U12" i="31"/>
  <c r="V12" i="31"/>
  <c r="V13" i="31"/>
  <c r="V15" i="31"/>
  <c r="U16" i="31"/>
  <c r="W16" i="31" s="1"/>
  <c r="V16" i="31"/>
  <c r="V17" i="31"/>
  <c r="U20" i="31"/>
  <c r="V20" i="31"/>
  <c r="AG12" i="31"/>
  <c r="AH12" i="31"/>
  <c r="AG13" i="31"/>
  <c r="AH13" i="31"/>
  <c r="AH15" i="31"/>
  <c r="AG16" i="31"/>
  <c r="AH16" i="31"/>
  <c r="AG17" i="31"/>
  <c r="AH17" i="31"/>
  <c r="AG18" i="31"/>
  <c r="AH18" i="31"/>
  <c r="AR5" i="31"/>
  <c r="O10" i="31"/>
  <c r="P10" i="31"/>
  <c r="U13" i="31"/>
  <c r="U15" i="31"/>
  <c r="AG15" i="31"/>
  <c r="U17" i="31"/>
  <c r="W17" i="31" s="1"/>
  <c r="U18" i="31"/>
  <c r="W18" i="31" s="1"/>
  <c r="V18" i="31"/>
  <c r="AG20" i="31"/>
  <c r="AH20" i="31"/>
  <c r="AO45" i="31"/>
  <c r="AR45" i="31" s="1"/>
  <c r="Q52" i="31"/>
  <c r="AO52" i="31" s="1"/>
  <c r="AR52" i="31" s="1"/>
  <c r="AC52" i="31"/>
  <c r="Q53" i="31"/>
  <c r="AO53" i="31" s="1"/>
  <c r="AR53" i="31" s="1"/>
  <c r="AC53" i="31"/>
  <c r="Q54" i="31"/>
  <c r="AO54" i="31" s="1"/>
  <c r="AR54" i="31" s="1"/>
  <c r="AC54" i="31"/>
  <c r="Q55" i="31"/>
  <c r="AO55" i="31" s="1"/>
  <c r="AR55" i="31" s="1"/>
  <c r="AC55" i="31"/>
  <c r="Q56" i="31"/>
  <c r="AO56" i="31" s="1"/>
  <c r="AR56" i="31" s="1"/>
  <c r="AC56" i="31"/>
  <c r="Q57" i="31"/>
  <c r="AO57" i="31" s="1"/>
  <c r="AR57" i="31" s="1"/>
  <c r="AC57" i="31"/>
  <c r="Q58" i="31"/>
  <c r="AO58" i="31" s="1"/>
  <c r="AR58" i="31" s="1"/>
  <c r="AC58" i="31"/>
  <c r="Q59" i="31"/>
  <c r="AO59" i="31" s="1"/>
  <c r="AR59" i="31" s="1"/>
  <c r="AC59" i="31"/>
  <c r="Q60" i="31"/>
  <c r="AO60" i="31" s="1"/>
  <c r="AR60" i="31" s="1"/>
  <c r="AC60" i="31"/>
  <c r="Q61" i="31"/>
  <c r="AO61" i="31" s="1"/>
  <c r="AR61" i="31" s="1"/>
  <c r="AC61" i="31"/>
  <c r="Q62" i="31"/>
  <c r="AO62" i="31" s="1"/>
  <c r="AR62" i="31" s="1"/>
  <c r="AC62" i="31"/>
  <c r="Q89" i="31"/>
  <c r="AO89" i="31" s="1"/>
  <c r="AR89" i="31" s="1"/>
  <c r="AC89" i="31"/>
  <c r="Q63" i="31"/>
  <c r="AO63" i="31" s="1"/>
  <c r="AR63" i="31" s="1"/>
  <c r="AC63" i="31"/>
  <c r="Q64" i="31"/>
  <c r="AO64" i="31" s="1"/>
  <c r="AR64" i="31" s="1"/>
  <c r="AC64" i="31"/>
  <c r="Q65" i="31"/>
  <c r="AO65" i="31" s="1"/>
  <c r="AR65" i="31" s="1"/>
  <c r="AC65" i="31"/>
  <c r="Q66" i="31"/>
  <c r="AO66" i="31" s="1"/>
  <c r="AR66" i="31" s="1"/>
  <c r="AC66" i="31"/>
  <c r="Q67" i="31"/>
  <c r="AO67" i="31" s="1"/>
  <c r="AR67" i="31" s="1"/>
  <c r="AC67" i="31"/>
  <c r="Q68" i="31"/>
  <c r="AO68" i="31" s="1"/>
  <c r="AC68" i="31"/>
  <c r="Q69" i="31"/>
  <c r="AO69" i="31" s="1"/>
  <c r="AR69" i="31" s="1"/>
  <c r="AC69" i="31"/>
  <c r="Q70" i="31"/>
  <c r="AO70" i="31" s="1"/>
  <c r="AR70" i="31" s="1"/>
  <c r="AC70" i="31"/>
  <c r="Q71" i="31"/>
  <c r="AO71" i="31" s="1"/>
  <c r="AR71" i="31" s="1"/>
  <c r="AC71" i="31"/>
  <c r="Q72" i="31"/>
  <c r="AO72" i="31" s="1"/>
  <c r="AR72" i="31" s="1"/>
  <c r="AC72" i="31"/>
  <c r="Q73" i="31"/>
  <c r="AO73" i="31" s="1"/>
  <c r="AR73" i="31" s="1"/>
  <c r="AC73" i="31"/>
  <c r="Q74" i="31"/>
  <c r="AO74" i="31" s="1"/>
  <c r="AR74" i="31" s="1"/>
  <c r="AC74" i="31"/>
  <c r="Q75" i="31"/>
  <c r="AO75" i="31" s="1"/>
  <c r="AR75" i="31" s="1"/>
  <c r="AC75" i="31"/>
  <c r="Q76" i="31"/>
  <c r="AO76" i="31" s="1"/>
  <c r="AR76" i="31" s="1"/>
  <c r="AC76" i="31"/>
  <c r="Q77" i="31"/>
  <c r="AO77" i="31" s="1"/>
  <c r="AR77" i="31" s="1"/>
  <c r="AC77" i="31"/>
  <c r="Q78" i="31"/>
  <c r="AO78" i="31" s="1"/>
  <c r="AR78" i="31" s="1"/>
  <c r="AC78" i="31"/>
  <c r="Q79" i="31"/>
  <c r="AO79" i="31" s="1"/>
  <c r="AR79" i="31" s="1"/>
  <c r="AC79" i="31"/>
  <c r="Q80" i="31"/>
  <c r="AO80" i="31" s="1"/>
  <c r="AR80" i="31" s="1"/>
  <c r="AC80" i="31"/>
  <c r="Q81" i="31"/>
  <c r="AO81" i="31" s="1"/>
  <c r="AR81" i="31" s="1"/>
  <c r="AC81" i="31"/>
  <c r="Q82" i="31"/>
  <c r="AO82" i="31" s="1"/>
  <c r="AR82" i="31" s="1"/>
  <c r="AC82" i="31"/>
  <c r="Q83" i="31"/>
  <c r="AO83" i="31" s="1"/>
  <c r="AR83" i="31" s="1"/>
  <c r="AC83" i="31"/>
  <c r="Q84" i="31"/>
  <c r="AO84" i="31" s="1"/>
  <c r="AR84" i="31" s="1"/>
  <c r="AC84" i="31"/>
  <c r="Q85" i="31"/>
  <c r="AO85" i="31" s="1"/>
  <c r="AR85" i="31" s="1"/>
  <c r="AC85" i="31"/>
  <c r="Q86" i="31"/>
  <c r="AO86" i="31" s="1"/>
  <c r="AR86" i="31" s="1"/>
  <c r="AC86" i="31"/>
  <c r="Q87" i="31"/>
  <c r="AO87" i="31" s="1"/>
  <c r="AR87" i="31" s="1"/>
  <c r="AC87" i="31"/>
  <c r="Q88" i="31"/>
  <c r="AO88" i="31" s="1"/>
  <c r="AR88" i="31" s="1"/>
  <c r="AC88" i="31"/>
  <c r="Q90" i="31"/>
  <c r="AO90" i="31" s="1"/>
  <c r="AR90" i="31" s="1"/>
  <c r="AC90" i="31"/>
  <c r="Q91" i="31"/>
  <c r="AO91" i="31" s="1"/>
  <c r="AR91" i="31" s="1"/>
  <c r="AC91" i="31"/>
  <c r="Q92" i="31"/>
  <c r="AO92" i="31" s="1"/>
  <c r="AR92" i="31" s="1"/>
  <c r="AC92" i="31"/>
  <c r="Q93" i="31"/>
  <c r="AO93" i="31" s="1"/>
  <c r="AR93" i="31" s="1"/>
  <c r="AC93" i="31"/>
  <c r="Q94" i="31"/>
  <c r="AO94" i="31" s="1"/>
  <c r="AR94" i="31" s="1"/>
  <c r="AC94" i="31"/>
  <c r="Q95" i="31"/>
  <c r="AO95" i="31" s="1"/>
  <c r="AR95" i="31" s="1"/>
  <c r="AC95" i="31"/>
  <c r="Q96" i="31"/>
  <c r="AO96" i="31" s="1"/>
  <c r="AR96" i="31" s="1"/>
  <c r="AC96" i="31"/>
  <c r="Q97" i="31"/>
  <c r="AO97" i="31" s="1"/>
  <c r="AR97" i="31" s="1"/>
  <c r="AC97" i="31"/>
  <c r="Q98" i="31"/>
  <c r="AO98" i="31" s="1"/>
  <c r="AR98" i="31" s="1"/>
  <c r="AC98" i="31"/>
  <c r="Q99" i="31"/>
  <c r="AO99" i="31" s="1"/>
  <c r="AR99" i="31" s="1"/>
  <c r="AC99" i="31"/>
  <c r="Q100" i="31"/>
  <c r="AO100" i="31" s="1"/>
  <c r="AR100" i="31" s="1"/>
  <c r="AC100" i="31"/>
  <c r="Q101" i="31"/>
  <c r="AO101" i="31" s="1"/>
  <c r="AR101" i="31" s="1"/>
  <c r="AC101" i="31"/>
  <c r="Q102" i="31"/>
  <c r="AO102" i="31" s="1"/>
  <c r="AR102" i="31" s="1"/>
  <c r="AC102" i="31"/>
  <c r="Q103" i="31"/>
  <c r="AO103" i="31" s="1"/>
  <c r="AR103" i="31" s="1"/>
  <c r="AC103" i="31"/>
  <c r="Q104" i="31"/>
  <c r="AO104" i="31" s="1"/>
  <c r="AR104" i="31" s="1"/>
  <c r="AC104" i="31"/>
  <c r="Q105" i="31"/>
  <c r="AO105" i="31" s="1"/>
  <c r="AR105" i="31" s="1"/>
  <c r="AC105" i="31"/>
  <c r="AO106" i="31"/>
  <c r="AR106" i="31" s="1"/>
  <c r="AO108" i="31"/>
  <c r="AR108" i="31" s="1"/>
  <c r="W15" i="31" l="1"/>
  <c r="W12" i="31"/>
  <c r="W13" i="31"/>
  <c r="W20" i="31"/>
  <c r="AO118" i="31"/>
  <c r="AR118" i="31" s="1"/>
  <c r="A8" i="34"/>
  <c r="AN21" i="31" s="1"/>
  <c r="AO21" i="31" s="1"/>
  <c r="AR21" i="31" s="1"/>
  <c r="AI15" i="31"/>
  <c r="AI17" i="31"/>
  <c r="AI18" i="31"/>
  <c r="AO7" i="31"/>
  <c r="AR7" i="31"/>
  <c r="AI20" i="31"/>
  <c r="AI16" i="31"/>
  <c r="AR17" i="31"/>
  <c r="AC10" i="31"/>
  <c r="AR16" i="31"/>
  <c r="Q10" i="31"/>
  <c r="AO9" i="31" s="1"/>
  <c r="AR9" i="31" s="1"/>
  <c r="AR20" i="31"/>
  <c r="AR15" i="31"/>
  <c r="AR18" i="31"/>
  <c r="AI12" i="31"/>
  <c r="AI13" i="31"/>
  <c r="AR13" i="31"/>
  <c r="AQ119" i="31" l="1"/>
  <c r="AQ118" i="31"/>
  <c r="AR12" i="31"/>
  <c r="AO11" i="31"/>
  <c r="M20" i="13"/>
  <c r="N20" i="13" s="1"/>
  <c r="I20" i="13"/>
  <c r="I21" i="13" l="1"/>
  <c r="J21" i="13" s="1"/>
  <c r="E28" i="13" s="1"/>
  <c r="J20" i="13"/>
  <c r="E27" i="13" s="1"/>
  <c r="M21" i="13"/>
  <c r="H11" i="30"/>
  <c r="H10" i="30"/>
  <c r="H7" i="30"/>
  <c r="H6" i="30"/>
  <c r="H5" i="30"/>
  <c r="E6" i="30"/>
  <c r="D6" i="30"/>
  <c r="C6" i="30"/>
  <c r="B6" i="30"/>
  <c r="D5" i="30"/>
  <c r="C5" i="30"/>
  <c r="B5" i="30"/>
  <c r="C4" i="30"/>
  <c r="B4" i="30"/>
  <c r="D96" i="6"/>
  <c r="A123" i="6" s="1"/>
  <c r="B123" i="6" s="1"/>
  <c r="D97" i="6" s="1"/>
  <c r="C96" i="6"/>
  <c r="A127" i="6" s="1"/>
  <c r="C97" i="6" s="1"/>
  <c r="B96" i="6"/>
  <c r="F20" i="13"/>
  <c r="B20" i="13"/>
  <c r="B19" i="12"/>
  <c r="B13" i="11"/>
  <c r="F15" i="10"/>
  <c r="B15" i="10"/>
  <c r="N57" i="2"/>
  <c r="F13" i="9"/>
  <c r="B13" i="9"/>
  <c r="F18" i="8"/>
  <c r="B18" i="8"/>
  <c r="F18" i="7"/>
  <c r="B18" i="7"/>
  <c r="Q42" i="31" l="1"/>
  <c r="AO41" i="31" s="1"/>
  <c r="AR41" i="31" s="1"/>
  <c r="B16" i="10"/>
  <c r="C16" i="10" s="1"/>
  <c r="C15" i="10"/>
  <c r="B22" i="10" s="1"/>
  <c r="N64" i="2" s="1"/>
  <c r="F16" i="10"/>
  <c r="G16" i="10" s="1"/>
  <c r="B24" i="10" s="1"/>
  <c r="N66" i="2" s="1"/>
  <c r="G15" i="10"/>
  <c r="F21" i="13"/>
  <c r="G20" i="13"/>
  <c r="N21" i="13"/>
  <c r="E29" i="13" s="1"/>
  <c r="C20" i="13"/>
  <c r="B27" i="13" s="1"/>
  <c r="B36" i="13" s="1"/>
  <c r="N109" i="2" s="1"/>
  <c r="AD109" i="2" s="1"/>
  <c r="B20" i="12"/>
  <c r="C19" i="12"/>
  <c r="B28" i="12" s="1"/>
  <c r="B37" i="12" s="1"/>
  <c r="N94" i="2" s="1"/>
  <c r="B14" i="11"/>
  <c r="C14" i="11" s="1"/>
  <c r="B22" i="11" s="1"/>
  <c r="N80" i="2" s="1"/>
  <c r="C13" i="11"/>
  <c r="B21" i="11" s="1"/>
  <c r="N79" i="2" s="1"/>
  <c r="B14" i="9"/>
  <c r="C14" i="9" s="1"/>
  <c r="C13" i="9"/>
  <c r="B20" i="9" s="1"/>
  <c r="N34" i="2" s="1"/>
  <c r="F14" i="9"/>
  <c r="G14" i="9" s="1"/>
  <c r="B22" i="9" s="1"/>
  <c r="N36" i="2" s="1"/>
  <c r="G13" i="9"/>
  <c r="B19" i="8"/>
  <c r="C19" i="8" s="1"/>
  <c r="C18" i="8"/>
  <c r="B25" i="8" s="1"/>
  <c r="N19" i="2" s="1"/>
  <c r="F19" i="8"/>
  <c r="G18" i="8"/>
  <c r="F19" i="7"/>
  <c r="H19" i="7" s="1"/>
  <c r="G26" i="7" s="1"/>
  <c r="G35" i="7" s="1"/>
  <c r="H18" i="7"/>
  <c r="G25" i="7" s="1"/>
  <c r="G34" i="7" s="1"/>
  <c r="Q14" i="2" s="1"/>
  <c r="G18" i="7"/>
  <c r="F25" i="7" s="1"/>
  <c r="F34" i="7" s="1"/>
  <c r="P14" i="2" s="1"/>
  <c r="C18" i="7"/>
  <c r="B25" i="7" s="1"/>
  <c r="B34" i="7" s="1"/>
  <c r="L14" i="2" s="1"/>
  <c r="D18" i="7"/>
  <c r="C25" i="7" s="1"/>
  <c r="C34" i="7" s="1"/>
  <c r="M14" i="2" s="1"/>
  <c r="N107" i="2"/>
  <c r="C13" i="30"/>
  <c r="C18" i="30" s="1"/>
  <c r="C25" i="30" s="1"/>
  <c r="B11" i="30"/>
  <c r="B23" i="30" s="1"/>
  <c r="B13" i="30"/>
  <c r="B25" i="30" s="1"/>
  <c r="B12" i="30"/>
  <c r="B24" i="30" s="1"/>
  <c r="D13" i="30"/>
  <c r="A18" i="30" s="1"/>
  <c r="D25" i="30" s="1"/>
  <c r="C12" i="30"/>
  <c r="E18" i="30" s="1"/>
  <c r="C24" i="30" s="1"/>
  <c r="N92" i="2"/>
  <c r="AD92" i="2" s="1"/>
  <c r="AC111" i="31" s="1"/>
  <c r="N77" i="2"/>
  <c r="N72" i="2"/>
  <c r="N32" i="2"/>
  <c r="N47" i="2"/>
  <c r="N52" i="2"/>
  <c r="N62" i="2"/>
  <c r="R107" i="2"/>
  <c r="N42" i="2"/>
  <c r="B21" i="13"/>
  <c r="C21" i="13" s="1"/>
  <c r="B19" i="7"/>
  <c r="P13" i="4"/>
  <c r="Q13" i="4" s="1"/>
  <c r="G13" i="4"/>
  <c r="H13" i="4" s="1"/>
  <c r="C118" i="6"/>
  <c r="G91" i="6" s="1"/>
  <c r="C111" i="6"/>
  <c r="C91" i="6" s="1"/>
  <c r="B111" i="6"/>
  <c r="B91" i="6" s="1"/>
  <c r="C109" i="6"/>
  <c r="C89" i="6" s="1"/>
  <c r="B109" i="6"/>
  <c r="B89" i="6" s="1"/>
  <c r="B118" i="6"/>
  <c r="F91" i="6" s="1"/>
  <c r="C117" i="6"/>
  <c r="G90" i="6" s="1"/>
  <c r="C116" i="6"/>
  <c r="G89" i="6" s="1"/>
  <c r="B116" i="6"/>
  <c r="F89" i="6" s="1"/>
  <c r="K13" i="4"/>
  <c r="B13" i="4"/>
  <c r="G14" i="3"/>
  <c r="B14" i="3"/>
  <c r="B26" i="8" l="1"/>
  <c r="N20" i="2" s="1"/>
  <c r="N82" i="2"/>
  <c r="B28" i="13"/>
  <c r="B37" i="13" s="1"/>
  <c r="N110" i="2" s="1"/>
  <c r="AD110" i="2" s="1"/>
  <c r="Q38" i="31"/>
  <c r="AO37" i="31" s="1"/>
  <c r="AR37" i="31" s="1"/>
  <c r="Q36" i="31"/>
  <c r="AO35" i="31" s="1"/>
  <c r="AR35" i="31" s="1"/>
  <c r="Q48" i="31"/>
  <c r="AO47" i="31" s="1"/>
  <c r="AR47" i="31" s="1"/>
  <c r="Q40" i="31"/>
  <c r="AO39" i="31" s="1"/>
  <c r="AR39" i="31" s="1"/>
  <c r="Q50" i="31"/>
  <c r="AO49" i="31" s="1"/>
  <c r="AR49" i="31" s="1"/>
  <c r="B23" i="10"/>
  <c r="N65" i="2" s="1"/>
  <c r="N67" i="2" s="1"/>
  <c r="AD107" i="2"/>
  <c r="AC121" i="31" s="1"/>
  <c r="Q121" i="31"/>
  <c r="T121" i="31"/>
  <c r="AH107" i="2"/>
  <c r="AF121" i="31" s="1"/>
  <c r="G21" i="13"/>
  <c r="B29" i="13" s="1"/>
  <c r="B38" i="13" s="1"/>
  <c r="N111" i="2" s="1"/>
  <c r="AD111" i="2" s="1"/>
  <c r="C20" i="12"/>
  <c r="B29" i="12" s="1"/>
  <c r="B38" i="12" s="1"/>
  <c r="N95" i="2" s="1"/>
  <c r="N97" i="2" s="1"/>
  <c r="Q111" i="31"/>
  <c r="AO110" i="31" s="1"/>
  <c r="AR110" i="31" s="1"/>
  <c r="B21" i="9"/>
  <c r="N35" i="2" s="1"/>
  <c r="N37" i="2" s="1"/>
  <c r="Q44" i="31"/>
  <c r="AO43" i="31" s="1"/>
  <c r="AR43" i="31" s="1"/>
  <c r="Q32" i="31"/>
  <c r="AO31" i="31" s="1"/>
  <c r="AR31" i="31" s="1"/>
  <c r="G19" i="8"/>
  <c r="D19" i="7"/>
  <c r="C26" i="7" s="1"/>
  <c r="C35" i="7" s="1"/>
  <c r="C19" i="7"/>
  <c r="B26" i="7" s="1"/>
  <c r="B35" i="7" s="1"/>
  <c r="G19" i="7"/>
  <c r="F26" i="7" s="1"/>
  <c r="F35" i="7" s="1"/>
  <c r="P15" i="2" s="1"/>
  <c r="P17" i="2" s="1"/>
  <c r="R26" i="31" s="1"/>
  <c r="B14" i="4"/>
  <c r="C13" i="4"/>
  <c r="B21" i="4" s="1"/>
  <c r="B30" i="4" s="1"/>
  <c r="L9" i="2" s="1"/>
  <c r="D13" i="4"/>
  <c r="C21" i="4" s="1"/>
  <c r="C30" i="4" s="1"/>
  <c r="M9" i="2" s="1"/>
  <c r="M13" i="4"/>
  <c r="G21" i="4" s="1"/>
  <c r="G30" i="4" s="1"/>
  <c r="Q9" i="2" s="1"/>
  <c r="L13" i="4"/>
  <c r="F21" i="4" s="1"/>
  <c r="F30" i="4" s="1"/>
  <c r="P9" i="2" s="1"/>
  <c r="I14" i="3"/>
  <c r="H14" i="3"/>
  <c r="D14" i="3"/>
  <c r="C23" i="3" s="1"/>
  <c r="M4" i="2" s="1"/>
  <c r="C14" i="3"/>
  <c r="B23" i="3" s="1"/>
  <c r="L4" i="2" s="1"/>
  <c r="G15" i="3"/>
  <c r="N116" i="2"/>
  <c r="N115" i="2"/>
  <c r="B117" i="6"/>
  <c r="F90" i="6" s="1"/>
  <c r="P122" i="2" s="1"/>
  <c r="R127" i="31" s="1"/>
  <c r="C110" i="6"/>
  <c r="C90" i="6" s="1"/>
  <c r="M122" i="2" s="1"/>
  <c r="P127" i="31" s="1"/>
  <c r="B110" i="6"/>
  <c r="B90" i="6" s="1"/>
  <c r="N114" i="2"/>
  <c r="M117" i="2"/>
  <c r="P125" i="31" s="1"/>
  <c r="L117" i="2"/>
  <c r="O125" i="31" s="1"/>
  <c r="Q15" i="2"/>
  <c r="I13" i="4"/>
  <c r="R13" i="4"/>
  <c r="N14" i="2"/>
  <c r="R14" i="2"/>
  <c r="Q122" i="2"/>
  <c r="S127" i="31" s="1"/>
  <c r="R121" i="2"/>
  <c r="N121" i="2"/>
  <c r="N119" i="2"/>
  <c r="N27" i="2"/>
  <c r="R119" i="2"/>
  <c r="K14" i="4"/>
  <c r="B15" i="3"/>
  <c r="Q115" i="31" l="1"/>
  <c r="AO114" i="31" s="1"/>
  <c r="AR114" i="31" s="1"/>
  <c r="B27" i="8"/>
  <c r="N21" i="2" s="1"/>
  <c r="N22" i="2" s="1"/>
  <c r="Q28" i="31" s="1"/>
  <c r="AO27" i="31" s="1"/>
  <c r="AR27" i="31" s="1"/>
  <c r="AO120" i="31"/>
  <c r="AR120" i="31" s="1"/>
  <c r="R120" i="2"/>
  <c r="Q34" i="31"/>
  <c r="AO33" i="31" s="1"/>
  <c r="AR33" i="31" s="1"/>
  <c r="Q30" i="31"/>
  <c r="AO29" i="31" s="1"/>
  <c r="AR29" i="31" s="1"/>
  <c r="R15" i="2"/>
  <c r="D14" i="4"/>
  <c r="C22" i="4" s="1"/>
  <c r="C31" i="4" s="1"/>
  <c r="M10" i="2" s="1"/>
  <c r="C14" i="4"/>
  <c r="B22" i="4" s="1"/>
  <c r="B31" i="4" s="1"/>
  <c r="L10" i="2" s="1"/>
  <c r="M14" i="4"/>
  <c r="L14" i="4"/>
  <c r="F22" i="4" s="1"/>
  <c r="F31" i="4" s="1"/>
  <c r="P10" i="2" s="1"/>
  <c r="D15" i="3"/>
  <c r="C24" i="3" s="1"/>
  <c r="M5" i="2" s="1"/>
  <c r="C15" i="3"/>
  <c r="B24" i="3" s="1"/>
  <c r="L5" i="2" s="1"/>
  <c r="I15" i="3"/>
  <c r="C25" i="3" s="1"/>
  <c r="M6" i="2" s="1"/>
  <c r="H15" i="3"/>
  <c r="B25" i="3" s="1"/>
  <c r="L6" i="2" s="1"/>
  <c r="N120" i="2"/>
  <c r="N112" i="2"/>
  <c r="N117" i="2"/>
  <c r="Q125" i="31" s="1"/>
  <c r="AO124" i="31" s="1"/>
  <c r="AR124" i="31" s="1"/>
  <c r="L122" i="2"/>
  <c r="Q17" i="2"/>
  <c r="L15" i="2"/>
  <c r="M15" i="2"/>
  <c r="M17" i="2" s="1"/>
  <c r="P26" i="31" s="1"/>
  <c r="R122" i="2"/>
  <c r="T127" i="31" s="1"/>
  <c r="R9" i="2"/>
  <c r="N4" i="2"/>
  <c r="V4" i="2"/>
  <c r="N122" i="2" l="1"/>
  <c r="Q127" i="31" s="1"/>
  <c r="O127" i="31"/>
  <c r="AQ120" i="31"/>
  <c r="AD112" i="2"/>
  <c r="AC123" i="31" s="1"/>
  <c r="Q123" i="31"/>
  <c r="AO122" i="31" s="1"/>
  <c r="AR122" i="31" s="1"/>
  <c r="AQ121" i="31"/>
  <c r="R17" i="2"/>
  <c r="T26" i="31" s="1"/>
  <c r="AF26" i="31" s="1"/>
  <c r="S26" i="31"/>
  <c r="G22" i="4"/>
  <c r="G31" i="4" s="1"/>
  <c r="Q10" i="2" s="1"/>
  <c r="Q12" i="2" s="1"/>
  <c r="S24" i="31" s="1"/>
  <c r="V5" i="2"/>
  <c r="L7" i="2"/>
  <c r="O4" i="31" s="1"/>
  <c r="N5" i="2"/>
  <c r="M7" i="2"/>
  <c r="P4" i="31" s="1"/>
  <c r="T7" i="2"/>
  <c r="U4" i="31" s="1"/>
  <c r="N6" i="2"/>
  <c r="U7" i="2"/>
  <c r="V4" i="31" s="1"/>
  <c r="N15" i="2"/>
  <c r="L17" i="2"/>
  <c r="O26" i="31" s="1"/>
  <c r="N9" i="2"/>
  <c r="N10" i="2"/>
  <c r="P12" i="2"/>
  <c r="R24" i="31" s="1"/>
  <c r="M12" i="2"/>
  <c r="P24" i="31" s="1"/>
  <c r="L12" i="2"/>
  <c r="O24" i="31" s="1"/>
  <c r="AO126" i="31" l="1"/>
  <c r="N17" i="2"/>
  <c r="Q26" i="31" s="1"/>
  <c r="AC26" i="31" s="1"/>
  <c r="N7" i="2"/>
  <c r="Q4" i="31" s="1"/>
  <c r="V7" i="2"/>
  <c r="W4" i="31" s="1"/>
  <c r="AR3" i="31" s="1"/>
  <c r="V6" i="2"/>
  <c r="R10" i="2"/>
  <c r="N12" i="2"/>
  <c r="R12" i="2"/>
  <c r="AR126" i="31" l="1"/>
  <c r="AQ127" i="31"/>
  <c r="AQ126" i="31"/>
  <c r="AO25" i="31"/>
  <c r="AQ25" i="31" s="1"/>
  <c r="T24" i="31"/>
  <c r="AF24" i="31" s="1"/>
  <c r="Q24" i="31"/>
  <c r="AC24" i="31" s="1"/>
  <c r="AO3" i="31"/>
  <c r="AQ3" i="31"/>
  <c r="AR25" i="31" l="1"/>
  <c r="AQ26" i="31"/>
  <c r="AO23" i="31"/>
  <c r="AR23" i="31" l="1"/>
  <c r="AQ24" i="31"/>
  <c r="AQ23" i="31"/>
</calcChain>
</file>

<file path=xl/sharedStrings.xml><?xml version="1.0" encoding="utf-8"?>
<sst xmlns="http://schemas.openxmlformats.org/spreadsheetml/2006/main" count="4979" uniqueCount="574">
  <si>
    <t>Data extraction</t>
  </si>
  <si>
    <t>Data check</t>
  </si>
  <si>
    <t>Study ID</t>
  </si>
  <si>
    <t>Title</t>
  </si>
  <si>
    <t>First author, 
publication year</t>
  </si>
  <si>
    <t>Period of analysis</t>
  </si>
  <si>
    <t>Reference year</t>
  </si>
  <si>
    <t>Productivity measure used</t>
  </si>
  <si>
    <t>Cost estimation approach</t>
  </si>
  <si>
    <t>Male</t>
  </si>
  <si>
    <t>Female</t>
  </si>
  <si>
    <t>0-39</t>
  </si>
  <si>
    <t>60+</t>
  </si>
  <si>
    <t>Total</t>
  </si>
  <si>
    <t>40-59</t>
  </si>
  <si>
    <t>Premature mortality costs directly due to COVID-19 per death</t>
  </si>
  <si>
    <t>Premature mortality costs from excess mortality per death</t>
  </si>
  <si>
    <t xml:space="preserve">Average </t>
  </si>
  <si>
    <t>Average</t>
  </si>
  <si>
    <t>2</t>
  </si>
  <si>
    <t>Bhattacharya, 2023</t>
  </si>
  <si>
    <t>Estimation of non-health gross domestic product (NHGDP) loss due to COVID-19 deaths in West Bengal, India</t>
  </si>
  <si>
    <t>John, 2023</t>
  </si>
  <si>
    <t>Model-based estimation of burden of COVID-19 with disability-adjusted life years and value of statistical life in West Bengal, India</t>
  </si>
  <si>
    <t>11</t>
  </si>
  <si>
    <t>John, 2021</t>
  </si>
  <si>
    <t>Estimation of the economic burden of COVID-19 using disability-adjusted life years (DALYs) and productivity losses in Kerala, India: a model-based analysis</t>
  </si>
  <si>
    <t>Kirigia, 2020a (USA)</t>
  </si>
  <si>
    <t>Discounted monetary value of human lives lost due to COVID-19 in the USA as of 3 May 2020</t>
  </si>
  <si>
    <t>13</t>
  </si>
  <si>
    <t>Kirigia, 2020b (Spain)</t>
  </si>
  <si>
    <t>The discounted money value of human lives lost due to COVID-19 in Spain</t>
  </si>
  <si>
    <t>Kirigia, 2020c (Canada)</t>
  </si>
  <si>
    <t>The dollar value of human life losses associated with COVID-19 in Canada</t>
  </si>
  <si>
    <t>15</t>
  </si>
  <si>
    <t>Kirigia, 2020d (China)</t>
  </si>
  <si>
    <t>The fiscal value of human lives lost from coronavirus disease (COVID‑19) in China</t>
  </si>
  <si>
    <t>Kirigia, 2020e (UK)</t>
  </si>
  <si>
    <t>The present value of human lives lost due to COVID-19 in the United Kingdom</t>
  </si>
  <si>
    <t>17</t>
  </si>
  <si>
    <t>Kirigia, 2020f (Germany)</t>
  </si>
  <si>
    <t>Valuation of human life losses associated with COVID-19 in Germany: A human capital approach</t>
  </si>
  <si>
    <t>Kirigia, 2020g (IR Iran)</t>
  </si>
  <si>
    <t>The net present value of human lives lost due to coronavirus disease (COVID-19) in the Islamic Republic of Iran</t>
  </si>
  <si>
    <t>19</t>
  </si>
  <si>
    <t>Kirigia, 2020h (Turkey)</t>
  </si>
  <si>
    <t>The monetary value of human life losses associated with COVID-19 in Turkey</t>
  </si>
  <si>
    <t>Kirigia, 2020i (Italy)</t>
  </si>
  <si>
    <t>The discounted financial worth of human lives lost from COVID-19 in Italy</t>
  </si>
  <si>
    <t>21</t>
  </si>
  <si>
    <t>Kirigia, 2020j (France)</t>
  </si>
  <si>
    <t>The discounted value of human lives lost due to COVID-19 in France</t>
  </si>
  <si>
    <t>Kirigia, 2020k (Brazil)</t>
  </si>
  <si>
    <t>The pecuniary value of human life losses associated with COVID-19 in Brazil</t>
  </si>
  <si>
    <t>23</t>
  </si>
  <si>
    <t>Kirigia, 2020l (Japan)</t>
  </si>
  <si>
    <t>The present value of human life losses associated with Covid-19 in Japan</t>
  </si>
  <si>
    <t>25</t>
  </si>
  <si>
    <t>Kirigia, 2020n (India)</t>
  </si>
  <si>
    <t>The present value of human life losses from Coronavirus Disease (COVID-19) in India</t>
  </si>
  <si>
    <t>Kirigia, 2022 (South Africa)</t>
  </si>
  <si>
    <t>The present value of human life losses associated with COVID-19 in South Africa</t>
  </si>
  <si>
    <t>27</t>
  </si>
  <si>
    <t>Kirigia, 2023 (Kenya)</t>
  </si>
  <si>
    <t>The present value of human life losses associated with COVID-19 and likely cost savings from vaccination in Kenya</t>
  </si>
  <si>
    <t>Musango, 2023</t>
  </si>
  <si>
    <t>The present value of human life losses associated with COVID-19 and likely productivity losses averted through COVID-19 vaccination in Madagascar</t>
  </si>
  <si>
    <t>33</t>
  </si>
  <si>
    <t>Nurchis, 2020</t>
  </si>
  <si>
    <t>Impact of the burden of COVID-19 in Italy: Results of disability-adjusted life years (DALYs) and productivity loss</t>
  </si>
  <si>
    <t>Shindhe, 2022</t>
  </si>
  <si>
    <t>Burden of COVID-19: DALY and productivity loss for Karnataka, India</t>
  </si>
  <si>
    <t>35</t>
  </si>
  <si>
    <t>Swain, 2023</t>
  </si>
  <si>
    <t>Gender and age group-wise inequality in health burden and value of premature death from COVID-19 in India</t>
  </si>
  <si>
    <t>Wang, 2023</t>
  </si>
  <si>
    <t>Losses of life expectancy and productivity associated with COVID-19 pandemic in Canada</t>
  </si>
  <si>
    <t>Euro</t>
  </si>
  <si>
    <t>INR (rupee)</t>
  </si>
  <si>
    <t>non-health GDP per capita</t>
  </si>
  <si>
    <t>- premature mortality - per capita GDP
- absenteeism - average salary per day</t>
  </si>
  <si>
    <t>net per capita GDP (per capita GDP minus per capita current health expenditure per capita)</t>
  </si>
  <si>
    <t>- absenteeism - hourly median wage stratified by age interval
- premature mortality - adjusted (with LFPR and unemployment rate) annual wage stratified by age interval</t>
  </si>
  <si>
    <t>annual adjusted wage</t>
  </si>
  <si>
    <t>net per capita national income</t>
  </si>
  <si>
    <t>- premature mortality - average annual income in different age bands for men and women
- absenteeism - average wages for different age bands</t>
  </si>
  <si>
    <t>not specified</t>
  </si>
  <si>
    <t>HCA</t>
  </si>
  <si>
    <t>17/03/2020 to 31/12/2022</t>
  </si>
  <si>
    <t>to 07/01/2022</t>
  </si>
  <si>
    <t>(1) 30/01/2020 to 15/11/2020
(2) 30/01/2020 to 10/06/2021</t>
  </si>
  <si>
    <t>to 03/05/2020</t>
  </si>
  <si>
    <t>to 19/04/2020</t>
  </si>
  <si>
    <t>to 16/07/2020</t>
  </si>
  <si>
    <t>to 24/02/2020</t>
  </si>
  <si>
    <t>to 2/07/2020</t>
  </si>
  <si>
    <t>27/01/2020 to 8/11/2020</t>
  </si>
  <si>
    <t>to 11/04/2020</t>
  </si>
  <si>
    <t>to 15/06/2020</t>
  </si>
  <si>
    <t>31/01/2020 to 20/08/2020</t>
  </si>
  <si>
    <t>to 14/09/2020</t>
  </si>
  <si>
    <t>25/02/2020 to 07/06/2020</t>
  </si>
  <si>
    <t>16/01/2020 to 29/10/2020</t>
  </si>
  <si>
    <t>30/01/2020 to 3/10/2020</t>
  </si>
  <si>
    <t>05/03/2020 to 30/05/2022</t>
  </si>
  <si>
    <t>12/03/2020 to 25/07/2022</t>
  </si>
  <si>
    <t>20/03/2020 to 03/03/2023</t>
  </si>
  <si>
    <t xml:space="preserve">21/02/2020 to 28/04/2020 
</t>
  </si>
  <si>
    <t>08/03/2020 to 21/07/2020</t>
  </si>
  <si>
    <t>2020-2022</t>
  </si>
  <si>
    <t>01/02/2020 to 30/04/2022</t>
  </si>
  <si>
    <t>not reported</t>
  </si>
  <si>
    <t>not applicable</t>
  </si>
  <si>
    <t>PN</t>
  </si>
  <si>
    <t>No data available</t>
  </si>
  <si>
    <t>[%}</t>
  </si>
  <si>
    <t>[%]</t>
  </si>
  <si>
    <t>Absenteeism costs directly due to acute COVID-19 (table 4 left columns)</t>
  </si>
  <si>
    <t>Premature mortality costs directly due to covid-19  (table 4 right columns)</t>
  </si>
  <si>
    <t>fifteen-year age range (31-45) , but we need 31-39 and 40-45</t>
  </si>
  <si>
    <t>9 years out of 15-years range is</t>
  </si>
  <si>
    <t>6 years out of 15-years range is</t>
  </si>
  <si>
    <t>fifteen-year age range (46-60) , but we need 46-59 and 60-61</t>
  </si>
  <si>
    <t>14 years out of 15-years range is</t>
  </si>
  <si>
    <t>1 year out of 15-years range is</t>
  </si>
  <si>
    <t xml:space="preserve">ten-year age range 35-44, but we need 35-39 and 40-44 </t>
  </si>
  <si>
    <t>5 years out of 10-years range is</t>
  </si>
  <si>
    <t>ten-year age range (55-64), but we need 55-59 and 60-64</t>
  </si>
  <si>
    <t>fifteen-year age range (46-60) , but we need 46-59</t>
  </si>
  <si>
    <t>Comments</t>
  </si>
  <si>
    <t>five-year age range (36-40), but we need 36-39 and 40</t>
  </si>
  <si>
    <t>4 years out of 5-years range is</t>
  </si>
  <si>
    <t>1 year out of 5-years range is</t>
  </si>
  <si>
    <t>5 years out of 15-years range is</t>
  </si>
  <si>
    <t>ten-years age range (35-44) , but we need 35-39 and 40-44</t>
  </si>
  <si>
    <t>ten-years age range (55-64) , but we need 55-59 and 60-64</t>
  </si>
  <si>
    <t>25-years age range (25-49) , but we need 25-39 and 40-49</t>
  </si>
  <si>
    <t>15 years out of 25-years range is</t>
  </si>
  <si>
    <t>10 years out of 25-years range is</t>
  </si>
  <si>
    <t>15-years age range (50-64), but we need 50-59 and 60-64</t>
  </si>
  <si>
    <t>10 years out of 15-years range is</t>
  </si>
  <si>
    <t>thirty-year age range (15-44), but we need 15-39 and 40-44</t>
  </si>
  <si>
    <t>twenty-year age range (45-64), but we need 45-59 and 60-64</t>
  </si>
  <si>
    <t>25 years out of 30-years range is</t>
  </si>
  <si>
    <t>5 years out of 30-years range is</t>
  </si>
  <si>
    <t>15 years out of 20-years range is</t>
  </si>
  <si>
    <t>5 years out of 20-years range is</t>
  </si>
  <si>
    <t>total</t>
  </si>
  <si>
    <t>10-year age range (35-44), but we need 35-39 and 40-44</t>
  </si>
  <si>
    <t>5 years out of 6-years range is</t>
  </si>
  <si>
    <t>six-year age range (55-60), but we need 55-59 and 60</t>
  </si>
  <si>
    <t>male</t>
  </si>
  <si>
    <t>female</t>
  </si>
  <si>
    <t>Inflation rate [%]</t>
  </si>
  <si>
    <t>Implied PPP conversion rate [National currency per international dollar]</t>
  </si>
  <si>
    <t>Raw data from study</t>
  </si>
  <si>
    <t>2022 to 2021</t>
  </si>
  <si>
    <t>2021 to 2020</t>
  </si>
  <si>
    <t>https://www.imf.org/en/Publications/WEO/weo-database/2023/October</t>
  </si>
  <si>
    <t>six-year age range (35-40), but we need 35-39 and 40</t>
  </si>
  <si>
    <t>Absenteeism costs directly due to acute COVID-19 (table 3)</t>
  </si>
  <si>
    <t>Premature mortality costs from excess mortality (table 3; WHO estimates)</t>
  </si>
  <si>
    <t>Currency used in study</t>
  </si>
  <si>
    <t>premature mortality</t>
  </si>
  <si>
    <t>absenteeism</t>
  </si>
  <si>
    <t>Gross domestic product [Purchasing power parity; international dollars]</t>
  </si>
  <si>
    <t>2020 International $</t>
  </si>
  <si>
    <t>2022 International $</t>
  </si>
  <si>
    <t>2023 International $</t>
  </si>
  <si>
    <t>2019 to 2020</t>
  </si>
  <si>
    <t>US$
Values in study based on the 2019 GDP</t>
  </si>
  <si>
    <t>US$ udjusted for purchasing power parity for 2020</t>
  </si>
  <si>
    <t>https://groww.in/p/tax/financial-year-and-assessment-year#</t>
  </si>
  <si>
    <t>Karnataka</t>
  </si>
  <si>
    <t>Kerala</t>
  </si>
  <si>
    <t>West Bengal</t>
  </si>
  <si>
    <t>https://esankhyiki.mospi.gov.in/catalogue/tableview/6609a022a518c85acb53d4b3</t>
  </si>
  <si>
    <t>2019-2020</t>
  </si>
  <si>
    <t>2020-2021</t>
  </si>
  <si>
    <t>2021-2022</t>
  </si>
  <si>
    <t>2022-2023</t>
  </si>
  <si>
    <t>Gross State Domestic Product for fiscal year [INR]</t>
  </si>
  <si>
    <t>Gross State Domestic Product for calendar year [2020 int$]</t>
  </si>
  <si>
    <t>Gross State Domestic Product for calendar year [INR]</t>
  </si>
  <si>
    <t>Number of days:</t>
  </si>
  <si>
    <t>01.01.2020 - 31.03.2020</t>
  </si>
  <si>
    <t>Number of days in fiscal year</t>
  </si>
  <si>
    <t>2020-2021; 2021-2022; 2022-2023</t>
  </si>
  <si>
    <t>01.01.2021/2022 - 31.03.2021/2022</t>
  </si>
  <si>
    <t>01.04.2020/2021/2022 - 31.12.2020/2021/2022</t>
  </si>
  <si>
    <t>% of GDP</t>
  </si>
  <si>
    <t>Fiscal years in India: 
- 01.04.2019 - 31.03.2020
- 01.04.2020 - 31.03.2021
- 01.04.2021 - 31.03.2022
- 01.04.2022 - 31.03.2023</t>
  </si>
  <si>
    <t>Data sources (In addition to article):</t>
  </si>
  <si>
    <t>Inflation and PPP adjusted data (2020 Int$)  (premature mortality)</t>
  </si>
  <si>
    <t>Inflation and PPP adjusted data (2020 Int$)  (absenteeism)</t>
  </si>
  <si>
    <t>Inflation-based value adjustment for premature mortality</t>
  </si>
  <si>
    <t>Inflation-based value adjustment for absenteeism</t>
  </si>
  <si>
    <t>Inflation-based 2022 GDP adjustment</t>
  </si>
  <si>
    <t>Inflation-based 2021 GDP adjustment</t>
  </si>
  <si>
    <t>Inflation-based 2023 GDP adjustment</t>
  </si>
  <si>
    <t xml:space="preserve">Gross domestic product [Purchasing power parity; international dollars] adjusted for 2020 </t>
  </si>
  <si>
    <t>Inflation-based 2021 GSDP adjustment (West Bengal)</t>
  </si>
  <si>
    <t>Inflation-based 2021 GSDP adjustment (Kerala)</t>
  </si>
  <si>
    <t>Inflation-based 2022 GSDP adjustment (West Bengal)</t>
  </si>
  <si>
    <t>start of the pandemic to 15/08/2021</t>
  </si>
  <si>
    <t>The economic cost of COVID-19 – Iceland, Norway, and Sweden</t>
  </si>
  <si>
    <t>Hultkrantz, 2022</t>
  </si>
  <si>
    <t>rupee (INR)</t>
  </si>
  <si>
    <t>US$</t>
  </si>
  <si>
    <t>The economic costs of COVID-19 in a rural Western US state</t>
  </si>
  <si>
    <t>Nguyen, 2023</t>
  </si>
  <si>
    <t>2020 Int$</t>
  </si>
  <si>
    <t>2020</t>
  </si>
  <si>
    <t>2023 Int$</t>
  </si>
  <si>
    <t>to 25/06/2022</t>
  </si>
  <si>
    <t>A preliminary estimate of the economic impact of long COVID in the United States</t>
  </si>
  <si>
    <t>Mirin, 2022</t>
  </si>
  <si>
    <t>2022 Int$</t>
  </si>
  <si>
    <t>Zimbabwe</t>
  </si>
  <si>
    <t>Zambia</t>
  </si>
  <si>
    <t>Uganda</t>
  </si>
  <si>
    <t>Tunisia</t>
  </si>
  <si>
    <t>Togo</t>
  </si>
  <si>
    <t>Tanzania</t>
  </si>
  <si>
    <t>Swaziland (Eswatini)</t>
  </si>
  <si>
    <t>Sudan</t>
  </si>
  <si>
    <t>South Sudan</t>
  </si>
  <si>
    <t>South Africa</t>
  </si>
  <si>
    <t>Somalia</t>
  </si>
  <si>
    <t>Sierra Leone</t>
  </si>
  <si>
    <t>Seychelles</t>
  </si>
  <si>
    <t>Senegal</t>
  </si>
  <si>
    <t>Sao Tome and Principe</t>
  </si>
  <si>
    <t>Rwanda</t>
  </si>
  <si>
    <t>Nigeria</t>
  </si>
  <si>
    <t>Niger</t>
  </si>
  <si>
    <t>Namibia</t>
  </si>
  <si>
    <t>Mozambique</t>
  </si>
  <si>
    <t>Morocco</t>
  </si>
  <si>
    <t>Mauritus</t>
  </si>
  <si>
    <t>Mauritania</t>
  </si>
  <si>
    <t>Mali</t>
  </si>
  <si>
    <t>Malawi</t>
  </si>
  <si>
    <t>Madagascar</t>
  </si>
  <si>
    <t>Libya</t>
  </si>
  <si>
    <t>Liberia</t>
  </si>
  <si>
    <t>Lesotho</t>
  </si>
  <si>
    <t>Kenya</t>
  </si>
  <si>
    <t>Guinea-Bissau</t>
  </si>
  <si>
    <t>Guinea</t>
  </si>
  <si>
    <t>Ghana</t>
  </si>
  <si>
    <t>Gambia</t>
  </si>
  <si>
    <t>Gabon</t>
  </si>
  <si>
    <t>Ethiopia</t>
  </si>
  <si>
    <t>Eritrea</t>
  </si>
  <si>
    <t>Equatorial Guinea</t>
  </si>
  <si>
    <t>Egypt</t>
  </si>
  <si>
    <t>Djibouti</t>
  </si>
  <si>
    <t>Democratic Republic of Congo</t>
  </si>
  <si>
    <t>Cote d'Ivoire</t>
  </si>
  <si>
    <t>Comoros</t>
  </si>
  <si>
    <t>Chad</t>
  </si>
  <si>
    <t>Central African Republic</t>
  </si>
  <si>
    <t>Cape Verde</t>
  </si>
  <si>
    <t>Cameroon</t>
  </si>
  <si>
    <t>Burundi</t>
  </si>
  <si>
    <t>Burkina Faso</t>
  </si>
  <si>
    <t>Botswana</t>
  </si>
  <si>
    <t>Benin</t>
  </si>
  <si>
    <t>Angola</t>
  </si>
  <si>
    <t>Algeria</t>
  </si>
  <si>
    <t>to 01/08/2020</t>
  </si>
  <si>
    <t>The present value of human life losses associated with coronavirus disease in Africa</t>
  </si>
  <si>
    <t>Kirigia, 2020m (Africa)</t>
  </si>
  <si>
    <t xml:space="preserve">¥ (Chinese yuan); US$ (exchange rate, 2019 annual: 1 US$ = 6.91 ¥) </t>
  </si>
  <si>
    <t>01/01/2020 to 31/03/2020</t>
  </si>
  <si>
    <t>Economic burden of COVID-19, China, January–March, 2020: a cost-of-illness study</t>
  </si>
  <si>
    <t>Jin, 2021</t>
  </si>
  <si>
    <t>Switzerland</t>
  </si>
  <si>
    <t>Sweden</t>
  </si>
  <si>
    <t>Spain</t>
  </si>
  <si>
    <t>Portugal</t>
  </si>
  <si>
    <t>Netherlands</t>
  </si>
  <si>
    <t>Italy</t>
  </si>
  <si>
    <t>-</t>
  </si>
  <si>
    <t>Germany</t>
  </si>
  <si>
    <t>France</t>
  </si>
  <si>
    <t>Belgium</t>
  </si>
  <si>
    <t>France: 2/03/2020 to 1/05/2020;
Germany: 2/03/2020 to 15/05/2020;
Italy &amp; Portugal: 9/03/2020 to 1/05/2020;
Belgium, Netherlands, Spain, Sweden &amp; Switzerland: 9/03/2020 to 15/05/2020</t>
  </si>
  <si>
    <t>The cost of lost productivity due to premature mortality associated with COVID‑19: a Pan‑European study</t>
  </si>
  <si>
    <t>Hanly, 2022</t>
  </si>
  <si>
    <t>TL (Turkish lira);US$ (exchange rate, 15 Aug 2020: 1 US$ = 7,367 TL)</t>
  </si>
  <si>
    <t>Years of potential life lost and productivity costs due to COVID-19 in Turkey: one yearly evaluation</t>
  </si>
  <si>
    <t>Gökler, 2022</t>
  </si>
  <si>
    <t>Long COVID: Costs for the German economy and health care and pension system</t>
  </si>
  <si>
    <t>Gandjour, 2023</t>
  </si>
  <si>
    <t>US$ (exchange rate, 3 Sep 2020: 1 US$ = 2853.43 MNT)</t>
  </si>
  <si>
    <t>22/01/2020 to 3/09/2020</t>
  </si>
  <si>
    <t>Spending assessment and economic burden of COVID-19 in Mongolia, January-September, 2020</t>
  </si>
  <si>
    <t>Byambadorj, 2022</t>
  </si>
  <si>
    <t>2021</t>
  </si>
  <si>
    <t>Productivity loss due to partial lockdown</t>
  </si>
  <si>
    <t>First author, publication year</t>
  </si>
  <si>
    <t>Conversion USD -&gt; MNT</t>
  </si>
  <si>
    <t xml:space="preserve">PPP adjusted data (2020 Int$) </t>
  </si>
  <si>
    <t>Inflation rate</t>
  </si>
  <si>
    <t>Czech Republic</t>
  </si>
  <si>
    <t>Mongolia</t>
  </si>
  <si>
    <t>Turkey</t>
  </si>
  <si>
    <t>China</t>
  </si>
  <si>
    <t>India</t>
  </si>
  <si>
    <t>USA</t>
  </si>
  <si>
    <t>Canada</t>
  </si>
  <si>
    <t>UK</t>
  </si>
  <si>
    <t>IR Iran</t>
  </si>
  <si>
    <t>Brazil</t>
  </si>
  <si>
    <t>Japan</t>
  </si>
  <si>
    <t>Republic of Congo</t>
  </si>
  <si>
    <t>0-15</t>
  </si>
  <si>
    <t>16-30</t>
  </si>
  <si>
    <t>31-45</t>
  </si>
  <si>
    <t>46-60</t>
  </si>
  <si>
    <t>61-75</t>
  </si>
  <si>
    <t>Premature mortality costs directly due to covid-19</t>
  </si>
  <si>
    <t>Adjusted data to age intervals</t>
  </si>
  <si>
    <t>Premature mortality costs from excess mortality</t>
  </si>
  <si>
    <t xml:space="preserve">1 USD =  </t>
  </si>
  <si>
    <t>MNT</t>
  </si>
  <si>
    <t>Not applicable</t>
  </si>
  <si>
    <t>Period of fiscal year</t>
  </si>
  <si>
    <t>Fiscal year</t>
  </si>
  <si>
    <t>2022 to 2020</t>
  </si>
  <si>
    <t>Raw data from study (table 1)</t>
  </si>
  <si>
    <t>Absenteeism costs directly due to acute COVID-19</t>
  </si>
  <si>
    <t>02/02/2020</t>
  </si>
  <si>
    <t>in 2022:</t>
  </si>
  <si>
    <t>Raw data from article</t>
  </si>
  <si>
    <t>40-49</t>
  </si>
  <si>
    <t>50-59</t>
  </si>
  <si>
    <t>16-20</t>
  </si>
  <si>
    <t>21-25</t>
  </si>
  <si>
    <t>26-30</t>
  </si>
  <si>
    <t>31-35</t>
  </si>
  <si>
    <t>36-40</t>
  </si>
  <si>
    <t>41-50</t>
  </si>
  <si>
    <t>51-59</t>
  </si>
  <si>
    <t>Absenteeism costs directly due to acute COVID-19 (table 4)</t>
  </si>
  <si>
    <t>0-4</t>
  </si>
  <si>
    <t>5-14</t>
  </si>
  <si>
    <t>15-24</t>
  </si>
  <si>
    <t>25-34</t>
  </si>
  <si>
    <t>35-44</t>
  </si>
  <si>
    <t>45-54</t>
  </si>
  <si>
    <t>55-64</t>
  </si>
  <si>
    <t>65-74</t>
  </si>
  <si>
    <t>Premature mortality costs directly due to COVID-19 (table 1)</t>
  </si>
  <si>
    <t>Premature mortality costs directly due to COVID-19 per death (table 1)</t>
  </si>
  <si>
    <t>26/01/2020</t>
  </si>
  <si>
    <t>19/01/2020</t>
  </si>
  <si>
    <t>23/02/2020</t>
  </si>
  <si>
    <t>15/03/2020</t>
  </si>
  <si>
    <t>01/03/2020</t>
  </si>
  <si>
    <t>05/04/2020</t>
  </si>
  <si>
    <t>22/03/2020</t>
  </si>
  <si>
    <t>0-9</t>
  </si>
  <si>
    <t>10-19</t>
  </si>
  <si>
    <t>20-29</t>
  </si>
  <si>
    <t>30-39</t>
  </si>
  <si>
    <t>60-69</t>
  </si>
  <si>
    <t>70-79</t>
  </si>
  <si>
    <t>Data source:</t>
  </si>
  <si>
    <t>Premature mortality costs directly due to COVID-19 (table 2)</t>
  </si>
  <si>
    <t>0-19</t>
  </si>
  <si>
    <t>80+</t>
  </si>
  <si>
    <t>25-49</t>
  </si>
  <si>
    <t>50-64</t>
  </si>
  <si>
    <t>65+</t>
  </si>
  <si>
    <t>Premature mortality costs directly due to COVID-19 per death (table 2)</t>
  </si>
  <si>
    <t>Premature mortality costs directly due to COVID-19 (table 3)</t>
  </si>
  <si>
    <t>70+</t>
  </si>
  <si>
    <t>0-14</t>
  </si>
  <si>
    <t>15-44</t>
  </si>
  <si>
    <t>45-64</t>
  </si>
  <si>
    <t>75+</t>
  </si>
  <si>
    <t>Premature mortality costs directly due to COVID-19 per death (table 7)</t>
  </si>
  <si>
    <t>Premature mortality costs directly due to COVID-19 (table 7)</t>
  </si>
  <si>
    <t>Premature mortality costs directly due to COVID-19 per death (table 4)</t>
  </si>
  <si>
    <t>Premature mortality costs directly due to COVID-19 (table 4)</t>
  </si>
  <si>
    <t>08/03/2020</t>
  </si>
  <si>
    <t>03/05/2020</t>
  </si>
  <si>
    <t>16/02/2020</t>
  </si>
  <si>
    <t>29/03/2020</t>
  </si>
  <si>
    <t>17/05/2020</t>
  </si>
  <si>
    <t>12/04/2020</t>
  </si>
  <si>
    <t>Premature mortality costs directly due to COVID-19 (table 5)</t>
  </si>
  <si>
    <t>15-29</t>
  </si>
  <si>
    <t>30-44</t>
  </si>
  <si>
    <t>45-59</t>
  </si>
  <si>
    <t>Premature mortality costs directly due to COVID-19 per death (table 5)</t>
  </si>
  <si>
    <t>5-9</t>
  </si>
  <si>
    <t>10-14</t>
  </si>
  <si>
    <t>15-19</t>
  </si>
  <si>
    <t>20-24</t>
  </si>
  <si>
    <t>25-29</t>
  </si>
  <si>
    <t>30-34</t>
  </si>
  <si>
    <t>35-39</t>
  </si>
  <si>
    <t>40-44</t>
  </si>
  <si>
    <t>45-49</t>
  </si>
  <si>
    <t>50-54</t>
  </si>
  <si>
    <t>55-59</t>
  </si>
  <si>
    <t>60-64</t>
  </si>
  <si>
    <t>65-69</t>
  </si>
  <si>
    <t>70-74</t>
  </si>
  <si>
    <t>75-79</t>
  </si>
  <si>
    <t>Premature mortality costs directly due to COVID-19 (table 8)</t>
  </si>
  <si>
    <t>0-5</t>
  </si>
  <si>
    <t>Premature mortality costs directly due to COVID-19 (table 6)</t>
  </si>
  <si>
    <t>Premature mortality costs directly due to COVID-19 per death (table 6)</t>
  </si>
  <si>
    <t>2023 to 2020</t>
  </si>
  <si>
    <t>Premature mortality</t>
  </si>
  <si>
    <t>Absenteeism</t>
  </si>
  <si>
    <t>15-20</t>
  </si>
  <si>
    <t>20-25</t>
  </si>
  <si>
    <t>25-30</t>
  </si>
  <si>
    <t>30-35</t>
  </si>
  <si>
    <t>35-40</t>
  </si>
  <si>
    <t>40-45</t>
  </si>
  <si>
    <t>45-50</t>
  </si>
  <si>
    <t>50-55</t>
  </si>
  <si>
    <t>55-60</t>
  </si>
  <si>
    <t>0-1</t>
  </si>
  <si>
    <t>1-4</t>
  </si>
  <si>
    <r>
      <t>5</t>
    </r>
    <r>
      <rPr>
        <u/>
        <sz val="12"/>
        <color theme="1"/>
        <rFont val="Calibri (Tekst podstawowy)"/>
        <charset val="238"/>
      </rPr>
      <t>-9</t>
    </r>
  </si>
  <si>
    <t>2022</t>
  </si>
  <si>
    <t>Absenteeism costs directly due to acute COVID-19 (table 2)</t>
  </si>
  <si>
    <t>Raw data</t>
  </si>
  <si>
    <t xml:space="preserve">Absenteeism costs directly due to acute COVID-19 </t>
  </si>
  <si>
    <t xml:space="preserve">Premature mortality costs directly due to COVID-19 </t>
  </si>
  <si>
    <t>11/03/2020 to 31/12/2020</t>
  </si>
  <si>
    <t>1 EUR =</t>
  </si>
  <si>
    <t>SEK</t>
  </si>
  <si>
    <t>Euro to Swedish krona (SEK)</t>
  </si>
  <si>
    <t>Euro to Norwegian krone (NOK)</t>
  </si>
  <si>
    <t>NOK</t>
  </si>
  <si>
    <t>Euro to Icelandic krona (ISK)</t>
  </si>
  <si>
    <t>Average for 2020</t>
  </si>
  <si>
    <t>Average for 2020-2021</t>
  </si>
  <si>
    <t>Norway</t>
  </si>
  <si>
    <t>Iceland</t>
  </si>
  <si>
    <t>Absenteeism costs directly due to acute COVID-19 (table 3, page 124)</t>
  </si>
  <si>
    <t xml:space="preserve">PPP adjusted data (2020 Int$) for absenteeism costs directly due to acute COVID-19 </t>
  </si>
  <si>
    <t>09/02/2020</t>
  </si>
  <si>
    <t>Productivity loss due to partial lockdown (table 2)</t>
  </si>
  <si>
    <t>Exchange rate used in the article (page 1)</t>
  </si>
  <si>
    <t>Absenteeism costs due to long COVID (table 1)</t>
  </si>
  <si>
    <t>PPP adjusted data (2020 Int$) for premature mortality costs due to excess mortality</t>
  </si>
  <si>
    <t>PPP adjusted data (2020 Int$) for premature mortality costs due to excess mortality per death</t>
  </si>
  <si>
    <t>Premature mortality costs due to excess mortality (table 2)</t>
  </si>
  <si>
    <t>Premature mortality costs due to excess mortality per death (table 3)</t>
  </si>
  <si>
    <t xml:space="preserve">PPP adjusted data (2020 Int$) for premature mortality costs directly due to COVID-19 </t>
  </si>
  <si>
    <t>PPP adjusted data (2020 Int$) for premature mortality costs directly due to COVID-19 per death</t>
  </si>
  <si>
    <t>PPP adjusted data (2020 Int$) for productivity loss due to partial lockdown</t>
  </si>
  <si>
    <t>Inflation and PPP adjusted data (2020 Int$) for absenteeism costs due to long COVID</t>
  </si>
  <si>
    <t>Inflation and PPP adjusted data (2020 Int$) for Absenteeism costs directly due to acute COVID-19</t>
  </si>
  <si>
    <t>Inflation and PPP adjusted data (2020 Int$) for premature mortality costs directly due to COVID-19</t>
  </si>
  <si>
    <t>Premature mortality costs directly due to COVID-19</t>
  </si>
  <si>
    <t>Premature mortality costs directly due to COVID-19 (table  4)</t>
  </si>
  <si>
    <t>s</t>
  </si>
  <si>
    <t>Inflation and PPP adjusted data (2020 Int$) for absenteeism costs directly due to acute COVID-19</t>
  </si>
  <si>
    <t>Premature mortality costs directly due to COVID-19 per death (table 3)</t>
  </si>
  <si>
    <t>fifteen-year age range (30-44), but we need 30-39 and 40-44</t>
  </si>
  <si>
    <t>Inflation-based value adjustment for premature mortality costs directly due to COVID-19</t>
  </si>
  <si>
    <t>Inflation-based value adjustment for premature mortality costs directly due to COVID-19 per death</t>
  </si>
  <si>
    <t>Number of COVID-19 deaths (table 4)</t>
  </si>
  <si>
    <t>Number of COVID-19 deaths</t>
  </si>
  <si>
    <t>Number of COVID-19 cases</t>
  </si>
  <si>
    <t>Number of COVID-19 deaths (table 8)</t>
  </si>
  <si>
    <t>Number of COVID-19 deaths (table 6)</t>
  </si>
  <si>
    <t xml:space="preserve">Inflation adjusted data (2020 Int$) for premature mortality costs directly due to COVID-19 </t>
  </si>
  <si>
    <t xml:space="preserve">Inflation adjusted data (2020 Int$) for absenteeism costs directly due to acute COVID-19 </t>
  </si>
  <si>
    <t>Premature mortality costs directly due to COVID-19 (page 8)</t>
  </si>
  <si>
    <t>Absenteeism costs directly due to acute COVID-19 (page 7)</t>
  </si>
  <si>
    <t>Number of COVID-19 deaths (table 3)</t>
  </si>
  <si>
    <t>Number of COVID-19 cases (table 2)</t>
  </si>
  <si>
    <t>Inflation and PPP adjusted data (2020 Int$) for 2022 premature mortality costs directly due to COVID-19</t>
  </si>
  <si>
    <t>Inflation and PPP adjusted data (2020 Int$) for 2021 premature mortality costs directly due to COVID-19</t>
  </si>
  <si>
    <t>PPP adjusted data (2020 Int$) for 2020 premature mortality costs directly due to COVID-19</t>
  </si>
  <si>
    <t>Absenteeism costs due to long COVID (page 194)</t>
  </si>
  <si>
    <t>Inflation adjusted data (2020 Int$) for absenteeism costs due to long COVID</t>
  </si>
  <si>
    <t>Total (range from --- to)</t>
  </si>
  <si>
    <t>Raw data from study (range from - to)</t>
  </si>
  <si>
    <t>Data sources:</t>
  </si>
  <si>
    <t>https://www.ecb.europa.eu/stats/policy_and_exchange_rates/euro_reference_exchange_rates/html/index.en.html</t>
  </si>
  <si>
    <t>Total productivity losses</t>
  </si>
  <si>
    <r>
      <t xml:space="preserve">Premature mortality </t>
    </r>
    <r>
      <rPr>
        <sz val="12"/>
        <color rgb="FFFF0000"/>
        <rFont val="Calibri"/>
        <family val="2"/>
        <charset val="238"/>
        <scheme val="minor"/>
      </rPr>
      <t>losses</t>
    </r>
    <r>
      <rPr>
        <sz val="12"/>
        <color theme="1"/>
        <rFont val="Calibri"/>
        <family val="2"/>
        <charset val="238"/>
        <scheme val="minor"/>
      </rPr>
      <t xml:space="preserve"> due to excess mortality (total)</t>
    </r>
  </si>
  <si>
    <r>
      <t xml:space="preserve">Absenteeism </t>
    </r>
    <r>
      <rPr>
        <sz val="12"/>
        <color rgb="FFFF0000"/>
        <rFont val="Calibri"/>
        <family val="2"/>
        <charset val="238"/>
        <scheme val="minor"/>
      </rPr>
      <t>losses</t>
    </r>
    <r>
      <rPr>
        <sz val="12"/>
        <color theme="1"/>
        <rFont val="Calibri"/>
        <family val="2"/>
        <charset val="238"/>
        <scheme val="minor"/>
      </rPr>
      <t xml:space="preserve"> due to long COVID (total)</t>
    </r>
  </si>
  <si>
    <r>
      <t xml:space="preserve">Premature mortality </t>
    </r>
    <r>
      <rPr>
        <sz val="12"/>
        <color rgb="FFFF0000"/>
        <rFont val="Calibri"/>
        <family val="2"/>
        <charset val="238"/>
        <scheme val="minor"/>
      </rPr>
      <t>losses</t>
    </r>
    <r>
      <rPr>
        <sz val="12"/>
        <color theme="1"/>
        <rFont val="Calibri"/>
        <family val="2"/>
        <charset val="238"/>
        <scheme val="minor"/>
      </rPr>
      <t xml:space="preserve"> due to excess mortality per death</t>
    </r>
  </si>
  <si>
    <r>
      <t xml:space="preserve">Absenteeism </t>
    </r>
    <r>
      <rPr>
        <sz val="12"/>
        <color rgb="FFFF0000"/>
        <rFont val="Calibri"/>
        <family val="2"/>
        <charset val="238"/>
        <scheme val="minor"/>
      </rPr>
      <t>losses</t>
    </r>
    <r>
      <rPr>
        <sz val="12"/>
        <color theme="1"/>
        <rFont val="Calibri"/>
        <family val="2"/>
        <charset val="238"/>
        <scheme val="minor"/>
      </rPr>
      <t xml:space="preserve"> due to long COVID per case</t>
    </r>
  </si>
  <si>
    <t>fifteen-year age range (46-60), but we need 46-59 and 60-61</t>
  </si>
  <si>
    <t>Step 1. Calculating GSDP for a calendar year</t>
  </si>
  <si>
    <t>Step 2. Inflation adjustment</t>
  </si>
  <si>
    <t>Step 3. Calculating GSDP in 2020 Int$</t>
  </si>
  <si>
    <t>Date of first COVID-19 case, if needed (day/month/year)</t>
  </si>
  <si>
    <r>
      <t xml:space="preserve">Premature mortality </t>
    </r>
    <r>
      <rPr>
        <sz val="12"/>
        <color rgb="FFFF0000"/>
        <rFont val="Calibri"/>
        <family val="2"/>
        <charset val="238"/>
        <scheme val="minor"/>
      </rPr>
      <t>losses</t>
    </r>
    <r>
      <rPr>
        <sz val="12"/>
        <color theme="1"/>
        <rFont val="Calibri"/>
        <family val="2"/>
        <charset val="238"/>
        <scheme val="minor"/>
      </rPr>
      <t xml:space="preserve"> directly due to COVID-19 (total)</t>
    </r>
  </si>
  <si>
    <r>
      <t xml:space="preserve">Absenteeism </t>
    </r>
    <r>
      <rPr>
        <sz val="12"/>
        <color rgb="FFFF0000"/>
        <rFont val="Calibri"/>
        <family val="2"/>
        <charset val="238"/>
        <scheme val="minor"/>
      </rPr>
      <t>losses</t>
    </r>
    <r>
      <rPr>
        <sz val="12"/>
        <color theme="1"/>
        <rFont val="Calibri"/>
        <family val="2"/>
        <charset val="238"/>
        <scheme val="minor"/>
      </rPr>
      <t xml:space="preserve"> directly due to acute COVID-19 (total)</t>
    </r>
  </si>
  <si>
    <r>
      <t xml:space="preserve">Premature mortality </t>
    </r>
    <r>
      <rPr>
        <sz val="12"/>
        <color rgb="FFFF0000"/>
        <rFont val="Calibri"/>
        <family val="2"/>
        <charset val="238"/>
        <scheme val="minor"/>
      </rPr>
      <t>losses</t>
    </r>
    <r>
      <rPr>
        <sz val="12"/>
        <color theme="1"/>
        <rFont val="Calibri"/>
        <family val="2"/>
        <charset val="238"/>
        <scheme val="minor"/>
      </rPr>
      <t xml:space="preserve"> directly due to COVID-19 per death</t>
    </r>
  </si>
  <si>
    <r>
      <t xml:space="preserve">Absenteeism </t>
    </r>
    <r>
      <rPr>
        <sz val="12"/>
        <color rgb="FFFF0000"/>
        <rFont val="Calibri"/>
        <family val="2"/>
        <charset val="238"/>
        <scheme val="minor"/>
      </rPr>
      <t>losses</t>
    </r>
    <r>
      <rPr>
        <sz val="12"/>
        <color theme="1"/>
        <rFont val="Calibri"/>
        <family val="2"/>
        <charset val="238"/>
        <scheme val="minor"/>
      </rPr>
      <t xml:space="preserve"> directly due to acute COVID-19 per case</t>
    </r>
  </si>
  <si>
    <t>Raw data from study (table 2)</t>
  </si>
  <si>
    <t>PPP adjusted data (2020 Int$) for absenteeism costs directly due to acute COVID-19</t>
  </si>
  <si>
    <t>Partial lockdown</t>
  </si>
  <si>
    <t>Cases</t>
  </si>
  <si>
    <t>Productivity loss due to partial lockdown (table 28 in supplementary file)</t>
  </si>
  <si>
    <t>Productivity loss due to cases (table 28 in supplementary file)</t>
  </si>
  <si>
    <t>Productivity loss due to premature mortality (table 28 in supplementary file)</t>
  </si>
  <si>
    <t>PPP adjusted data (2020 Int$) for productivity loss due to cases</t>
  </si>
  <si>
    <t xml:space="preserve">PPP adjusted data (2020 Int$) for productivity loss due to premature mortality costs directly due to COVID-19 </t>
  </si>
  <si>
    <t>Musango, 2020</t>
  </si>
  <si>
    <t>The discounted money value of human life losses associated with COVID-19 in Mauritius</t>
  </si>
  <si>
    <t>18/03/2020 to 16/10/2020</t>
  </si>
  <si>
    <t>Raw data from study (table 3)</t>
  </si>
  <si>
    <t>https://apps.bea.gov/histdatacore/Regional_Accounts_new.html</t>
  </si>
  <si>
    <t>Idaho</t>
  </si>
  <si>
    <t xml:space="preserve">Inflation-based 2021 GSDP adjustment </t>
  </si>
  <si>
    <t>BŁ</t>
  </si>
  <si>
    <t>in 2020:</t>
  </si>
  <si>
    <t>in 2021:</t>
  </si>
  <si>
    <t>in 2023:</t>
  </si>
  <si>
    <t>in 2020 (Iceland and Sweden):</t>
  </si>
  <si>
    <t>in 2020 (Norway):</t>
  </si>
  <si>
    <t>in 2021 (Iceland, Norway and Sweden):</t>
  </si>
  <si>
    <t>Period of analysis (day/month/year)</t>
  </si>
  <si>
    <t>1. The 'Totals' for each age interval in tables 2 and 3 contain different values than the sum of particular items summed (males + females). We used the latter.
2. In excess mortality costs we used WHO estimates, not the GBD estimates.</t>
  </si>
  <si>
    <t xml:space="preserve">In table 4, the total value of premature mortality cost per death is the sum of respective values for males and females. Instead, it seems that it should be the average value of the two. </t>
  </si>
  <si>
    <t>Values until 10/06/2021 used.</t>
  </si>
  <si>
    <t>We assumed the period of analysis to start at 01/01/2020.</t>
  </si>
  <si>
    <t>We assumed 2022 as the reference year based on the date of data acquisition (see reference 27).</t>
  </si>
  <si>
    <t>Countries - if losses estimated for more than one</t>
  </si>
  <si>
    <t>Period of analysis in days, if applicable (including the first and last day of a period). Only shows periods if incomplete years are of interest</t>
  </si>
  <si>
    <t>Premature mortality losses due to COVID-19 (total)</t>
  </si>
  <si>
    <t>Absenteeism losses due to acute COVID-19 (total)</t>
  </si>
  <si>
    <t>Premature mortality losses due to excess mortality (total)</t>
  </si>
  <si>
    <t>Absenteeism losses due to long COVID (total)</t>
  </si>
  <si>
    <t>Premature mortality losses due to COVID-19 per death</t>
  </si>
  <si>
    <t>Absenteeism losses due to acute COVID-19 per case</t>
  </si>
  <si>
    <t>Premature mortality losses due to excess mortality per death</t>
  </si>
  <si>
    <t>Absenteeism losses due to long COVID per case</t>
  </si>
  <si>
    <t>Productivity losses due to partial lockdown, cases, quarantinne (total)</t>
  </si>
  <si>
    <t xml:space="preserve"> Proportion of particular categories in total losses [%}</t>
  </si>
  <si>
    <t>Proportion of premature mortality directly due to COVID-19 in excess deaths</t>
  </si>
  <si>
    <t>Productivity loss due to cases (table 2)</t>
  </si>
  <si>
    <t>Age</t>
  </si>
  <si>
    <t>Costs</t>
  </si>
  <si>
    <t>Sheet</t>
  </si>
  <si>
    <t>Content</t>
  </si>
  <si>
    <t>Tot_val</t>
  </si>
  <si>
    <t>Age_int</t>
  </si>
  <si>
    <t>Estimates of cost categories broken down by three age categories</t>
  </si>
  <si>
    <t>IMF</t>
  </si>
  <si>
    <t>International Monetary Fund input data for estimation of losses</t>
  </si>
  <si>
    <t>GSDP_India</t>
  </si>
  <si>
    <t>GSDP_USA</t>
  </si>
  <si>
    <t xml:space="preserve">Region-specific input data required to estimate losses for studies reporting regional losses estimates </t>
  </si>
  <si>
    <t>Exch_rates</t>
  </si>
  <si>
    <t>Exchange rates input data required to estimate losses</t>
  </si>
  <si>
    <t>ID1 - ID38</t>
  </si>
  <si>
    <t>(1) Identifying information on studies included and data extraction process
(2) Estimates of losses categories expressed in real Int$ (base year = 2020) and as a % of GDP</t>
  </si>
  <si>
    <t>Each sheet includes a detailed estimation procedure on particular studies (Ids 1 to 38) figures. Colours used as a background for tables refer to colours used for particular loss categories in 'Tot_val' and 'Age_int' sheets.</t>
  </si>
  <si>
    <t>08/12/2019*
* https://www.ncbi.nlm.nih.gov/pmc/articles/PMC7121484/</t>
  </si>
  <si>
    <t>The file contains quantitative data extraction and detailed estimates of productivity losses broken down by loss category, sex and age group. Only studies assessed as &gt;60% in the quality assessment were eligible for data extraction; the following studies were excluded: ID1, ID4, ID5, ID28, and ID37.</t>
  </si>
  <si>
    <r>
      <t>Authors</t>
    </r>
    <r>
      <rPr>
        <sz val="10"/>
        <color theme="1"/>
        <rFont val="Calibri"/>
        <family val="2"/>
        <charset val="238"/>
        <scheme val="minor"/>
      </rPr>
      <t>: Paweł Niewiadomski, Marta Ortega-Ortega, Błażej Łyszczarz</t>
    </r>
  </si>
  <si>
    <r>
      <rPr>
        <b/>
        <sz val="10"/>
        <color theme="1"/>
        <rFont val="Calibri"/>
        <family val="2"/>
        <charset val="238"/>
        <scheme val="minor"/>
      </rPr>
      <t>Corresponding author</t>
    </r>
    <r>
      <rPr>
        <sz val="10"/>
        <color theme="1"/>
        <rFont val="Calibri"/>
        <family val="2"/>
        <charset val="238"/>
        <scheme val="minor"/>
      </rPr>
      <t>: Błażej Łyszczarz, Nicolaus Copernicus University in Toruń, Department of Health Economics, Bydgoszcz, Poland; blazej@cm.umk.pl</t>
    </r>
  </si>
  <si>
    <r>
      <t>Article title</t>
    </r>
    <r>
      <rPr>
        <sz val="10"/>
        <color theme="1"/>
        <rFont val="Calibri"/>
        <family val="2"/>
        <charset val="238"/>
        <scheme val="minor"/>
      </rPr>
      <t>: Productivity losses due to health problems arising from COVID-19 pandemic: a systematic review of population-level studies worldwide</t>
    </r>
  </si>
  <si>
    <t>Supplementary file 3 - cross-study comparison of productivity losses</t>
  </si>
  <si>
    <r>
      <t>Journal title</t>
    </r>
    <r>
      <rPr>
        <sz val="10"/>
        <color theme="1"/>
        <rFont val="Calibri"/>
        <family val="2"/>
        <charset val="238"/>
        <scheme val="minor"/>
      </rPr>
      <t xml:space="preserve">:  Applied Health Economics and Health Policy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</si>
</sst>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00"/>
    <numFmt numFmtId="166" formatCode="#,##0.000"/>
    <numFmt numFmtId="167" formatCode="#,##0.0"/>
  </numFmts>
  <fonts count="13">
    <font>
      <sz val="12"/>
      <color theme="1"/>
      <name val="Calibri"/>
      <family val="2"/>
      <charset val="238"/>
      <scheme val="minor"/>
    </font>
    <font>
      <sz val="11"/>
      <color theme="1"/>
      <name val="Calibri"/>
      <family val="2"/>
      <charset val="238"/>
      <scheme val="minor"/>
    </font>
    <font>
      <sz val="12"/>
      <color theme="1"/>
      <name val="Calibri"/>
      <family val="2"/>
      <scheme val="minor"/>
    </font>
    <font>
      <sz val="12"/>
      <color rgb="FF000000"/>
      <name val="Calibri"/>
      <family val="2"/>
      <charset val="238"/>
      <scheme val="minor"/>
    </font>
    <font>
      <sz val="11"/>
      <name val="Calibri"/>
      <family val="2"/>
      <charset val="238"/>
      <scheme val="minor"/>
    </font>
    <font>
      <sz val="11"/>
      <color theme="1"/>
      <name val="Calibri"/>
      <family val="2"/>
      <scheme val="minor"/>
    </font>
    <font>
      <sz val="12"/>
      <name val="Calibri"/>
      <family val="2"/>
      <charset val="238"/>
      <scheme val="minor"/>
    </font>
    <font>
      <b/>
      <sz val="12"/>
      <color theme="1"/>
      <name val="Calibri"/>
      <family val="2"/>
      <scheme val="minor"/>
    </font>
    <font>
      <u/>
      <sz val="12"/>
      <color theme="1"/>
      <name val="Calibri (Tekst podstawowy)"/>
      <charset val="238"/>
    </font>
    <font>
      <sz val="8"/>
      <name val="Calibri"/>
      <family val="2"/>
      <charset val="238"/>
      <scheme val="minor"/>
    </font>
    <font>
      <sz val="12"/>
      <color rgb="FFFF0000"/>
      <name val="Calibri"/>
      <family val="2"/>
      <charset val="238"/>
      <scheme val="minor"/>
    </font>
    <font>
      <b/>
      <sz val="10"/>
      <color theme="1"/>
      <name val="Calibri"/>
      <family val="2"/>
      <charset val="238"/>
      <scheme val="minor"/>
    </font>
    <font>
      <sz val="10"/>
      <color theme="1"/>
      <name val="Calibri"/>
      <family val="2"/>
      <charset val="238"/>
      <scheme val="minor"/>
    </font>
  </fonts>
  <fills count="27">
    <fill>
      <patternFill patternType="none"/>
    </fill>
    <fill>
      <patternFill patternType="gray125"/>
    </fill>
    <fill>
      <patternFill patternType="solid">
        <fgColor theme="5"/>
        <bgColor indexed="64"/>
      </patternFill>
    </fill>
    <fill>
      <patternFill patternType="solid">
        <fgColor theme="5" tint="0.39997558519241921"/>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690">
    <xf numFmtId="0" fontId="0" fillId="0" borderId="0" xfId="0"/>
    <xf numFmtId="0" fontId="0" fillId="9"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4" fontId="0" fillId="11" borderId="1" xfId="0" applyNumberFormat="1" applyFill="1" applyBorder="1" applyAlignment="1">
      <alignment horizontal="center" vertical="center"/>
    </xf>
    <xf numFmtId="4" fontId="0" fillId="11" borderId="7" xfId="0" applyNumberFormat="1" applyFill="1" applyBorder="1" applyAlignment="1">
      <alignment horizontal="center" vertical="center"/>
    </xf>
    <xf numFmtId="4" fontId="0" fillId="11" borderId="4" xfId="0" applyNumberFormat="1" applyFill="1" applyBorder="1" applyAlignment="1">
      <alignment horizontal="center" vertical="center"/>
    </xf>
    <xf numFmtId="4" fontId="0" fillId="3" borderId="1" xfId="0" applyNumberFormat="1" applyFill="1" applyBorder="1" applyAlignment="1">
      <alignment horizontal="center" vertical="center"/>
    </xf>
    <xf numFmtId="4" fontId="0" fillId="8" borderId="1" xfId="0" applyNumberFormat="1" applyFill="1" applyBorder="1" applyAlignment="1">
      <alignment horizontal="center" vertical="center"/>
    </xf>
    <xf numFmtId="4" fontId="0" fillId="12" borderId="1" xfId="0" applyNumberFormat="1" applyFill="1" applyBorder="1" applyAlignment="1">
      <alignment horizontal="center" vertical="center"/>
    </xf>
    <xf numFmtId="4" fontId="0" fillId="3" borderId="7" xfId="0" applyNumberFormat="1" applyFill="1" applyBorder="1" applyAlignment="1">
      <alignment horizontal="center" vertical="center"/>
    </xf>
    <xf numFmtId="4" fontId="0" fillId="13" borderId="1" xfId="0" applyNumberFormat="1" applyFill="1" applyBorder="1" applyAlignment="1">
      <alignment horizontal="center" vertical="center"/>
    </xf>
    <xf numFmtId="4" fontId="0" fillId="15" borderId="1" xfId="0" applyNumberFormat="1" applyFill="1" applyBorder="1" applyAlignment="1">
      <alignment horizontal="center" vertical="center"/>
    </xf>
    <xf numFmtId="4" fontId="0" fillId="3" borderId="4" xfId="0" applyNumberFormat="1" applyFill="1" applyBorder="1" applyAlignment="1">
      <alignment horizontal="center" vertical="center"/>
    </xf>
    <xf numFmtId="4" fontId="0" fillId="13" borderId="4" xfId="0" applyNumberFormat="1" applyFill="1" applyBorder="1" applyAlignment="1">
      <alignment horizontal="center" vertical="center"/>
    </xf>
    <xf numFmtId="4" fontId="0" fillId="15" borderId="4" xfId="0" applyNumberFormat="1" applyFill="1" applyBorder="1" applyAlignment="1">
      <alignment horizontal="center" vertical="center"/>
    </xf>
    <xf numFmtId="4" fontId="0" fillId="14" borderId="1" xfId="0" applyNumberFormat="1" applyFill="1" applyBorder="1" applyAlignment="1">
      <alignment horizontal="center" vertical="center"/>
    </xf>
    <xf numFmtId="4" fontId="0" fillId="16" borderId="1" xfId="0" applyNumberFormat="1" applyFill="1" applyBorder="1" applyAlignment="1">
      <alignment horizontal="center" vertical="center"/>
    </xf>
    <xf numFmtId="4" fontId="0" fillId="13" borderId="7" xfId="0" applyNumberFormat="1" applyFill="1" applyBorder="1" applyAlignment="1">
      <alignment horizontal="center" vertical="center"/>
    </xf>
    <xf numFmtId="4" fontId="0" fillId="15" borderId="7" xfId="0" applyNumberFormat="1" applyFill="1" applyBorder="1" applyAlignment="1">
      <alignment horizontal="center" vertical="center"/>
    </xf>
    <xf numFmtId="2" fontId="0" fillId="0" borderId="0" xfId="0" applyNumberFormat="1"/>
    <xf numFmtId="4" fontId="0" fillId="0" borderId="0" xfId="0" applyNumberFormat="1" applyAlignment="1">
      <alignment wrapText="1"/>
    </xf>
    <xf numFmtId="4" fontId="0" fillId="0" borderId="13" xfId="0" applyNumberFormat="1" applyBorder="1" applyAlignment="1">
      <alignment wrapText="1"/>
    </xf>
    <xf numFmtId="4" fontId="0" fillId="0" borderId="10" xfId="0" applyNumberFormat="1" applyBorder="1" applyAlignment="1">
      <alignment wrapText="1"/>
    </xf>
    <xf numFmtId="4" fontId="0" fillId="0" borderId="16" xfId="0" applyNumberFormat="1" applyBorder="1" applyAlignment="1">
      <alignment wrapText="1"/>
    </xf>
    <xf numFmtId="4" fontId="0" fillId="0" borderId="12" xfId="0" applyNumberFormat="1" applyBorder="1" applyAlignment="1">
      <alignment wrapText="1"/>
    </xf>
    <xf numFmtId="4" fontId="0" fillId="0" borderId="14" xfId="0" applyNumberFormat="1" applyBorder="1" applyAlignment="1">
      <alignment wrapText="1"/>
    </xf>
    <xf numFmtId="4" fontId="2" fillId="8"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xf>
    <xf numFmtId="4" fontId="0" fillId="0" borderId="1" xfId="0" applyNumberFormat="1" applyBorder="1" applyAlignment="1">
      <alignment horizontal="center" vertical="center"/>
    </xf>
    <xf numFmtId="4" fontId="0" fillId="0" borderId="0" xfId="0" applyNumberFormat="1" applyAlignment="1">
      <alignment horizontal="center" vertical="center"/>
    </xf>
    <xf numFmtId="0" fontId="0" fillId="7" borderId="1" xfId="0" applyFill="1" applyBorder="1" applyAlignment="1">
      <alignment horizontal="center" vertical="center" wrapText="1"/>
    </xf>
    <xf numFmtId="0" fontId="0" fillId="7" borderId="3" xfId="0" applyFill="1" applyBorder="1" applyAlignment="1">
      <alignment horizontal="center" vertical="center" wrapText="1"/>
    </xf>
    <xf numFmtId="0" fontId="0" fillId="10" borderId="1" xfId="0" applyFill="1" applyBorder="1" applyAlignment="1">
      <alignment horizontal="center" vertical="center" wrapText="1"/>
    </xf>
    <xf numFmtId="0" fontId="0" fillId="7" borderId="4" xfId="0" applyFill="1" applyBorder="1" applyAlignment="1">
      <alignment horizontal="center" vertical="center" wrapText="1"/>
    </xf>
    <xf numFmtId="4" fontId="0" fillId="0" borderId="5" xfId="0" applyNumberFormat="1" applyBorder="1" applyAlignment="1">
      <alignment horizontal="center" vertical="center"/>
    </xf>
    <xf numFmtId="4" fontId="0" fillId="0" borderId="13" xfId="0" applyNumberFormat="1" applyBorder="1" applyAlignment="1">
      <alignment horizontal="center" vertical="center"/>
    </xf>
    <xf numFmtId="4" fontId="0" fillId="0" borderId="12" xfId="0" applyNumberFormat="1" applyBorder="1" applyAlignment="1">
      <alignment horizontal="center" vertical="center"/>
    </xf>
    <xf numFmtId="0" fontId="0" fillId="0" borderId="0" xfId="0" applyAlignment="1">
      <alignment vertical="center"/>
    </xf>
    <xf numFmtId="4" fontId="0" fillId="0" borderId="16" xfId="0" applyNumberFormat="1" applyBorder="1" applyAlignment="1">
      <alignment horizontal="center" vertical="center"/>
    </xf>
    <xf numFmtId="4" fontId="0" fillId="0" borderId="0" xfId="0" applyNumberFormat="1" applyAlignment="1">
      <alignment horizontal="center" vertical="center" wrapText="1"/>
    </xf>
    <xf numFmtId="0" fontId="0" fillId="0" borderId="16" xfId="0" applyBorder="1" applyAlignment="1">
      <alignment horizontal="center" vertical="center"/>
    </xf>
    <xf numFmtId="0" fontId="0" fillId="0" borderId="12" xfId="0" applyBorder="1"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0" fontId="3" fillId="0" borderId="1" xfId="0" applyFont="1" applyBorder="1" applyAlignment="1">
      <alignment horizontal="center" vertical="center"/>
    </xf>
    <xf numFmtId="165" fontId="0" fillId="0" borderId="5" xfId="0" applyNumberFormat="1" applyBorder="1" applyAlignment="1">
      <alignment horizontal="center" vertical="center"/>
    </xf>
    <xf numFmtId="165" fontId="0" fillId="0" borderId="1" xfId="0" applyNumberFormat="1" applyBorder="1" applyAlignment="1">
      <alignment horizontal="center" vertical="center" wrapText="1"/>
    </xf>
    <xf numFmtId="0" fontId="0" fillId="0" borderId="1" xfId="0" applyBorder="1"/>
    <xf numFmtId="0" fontId="0" fillId="0" borderId="22" xfId="0" applyBorder="1"/>
    <xf numFmtId="0" fontId="0" fillId="0" borderId="16" xfId="0" applyBorder="1"/>
    <xf numFmtId="0" fontId="0" fillId="0" borderId="0" xfId="0" applyAlignment="1">
      <alignment horizontal="center"/>
    </xf>
    <xf numFmtId="4" fontId="0" fillId="3" borderId="3" xfId="0" applyNumberFormat="1" applyFill="1" applyBorder="1" applyAlignment="1">
      <alignment horizontal="center" vertical="center"/>
    </xf>
    <xf numFmtId="3" fontId="0" fillId="0" borderId="0" xfId="0" applyNumberFormat="1" applyAlignment="1">
      <alignment wrapText="1"/>
    </xf>
    <xf numFmtId="0" fontId="0" fillId="0" borderId="0" xfId="0" applyAlignment="1">
      <alignment horizontal="left" vertical="center"/>
    </xf>
    <xf numFmtId="0" fontId="0" fillId="0" borderId="1" xfId="0" applyBorder="1" applyAlignment="1">
      <alignment wrapText="1"/>
    </xf>
    <xf numFmtId="0" fontId="0" fillId="10" borderId="1" xfId="0" applyFill="1" applyBorder="1" applyAlignment="1">
      <alignment horizontal="center" vertical="center"/>
    </xf>
    <xf numFmtId="4" fontId="0" fillId="17" borderId="9" xfId="0" applyNumberFormat="1" applyFill="1" applyBorder="1" applyAlignment="1">
      <alignment horizontal="center" vertical="center" wrapText="1"/>
    </xf>
    <xf numFmtId="49" fontId="0" fillId="0" borderId="9" xfId="0" applyNumberFormat="1" applyBorder="1" applyAlignment="1">
      <alignment horizontal="center" vertical="center" wrapText="1"/>
    </xf>
    <xf numFmtId="4" fontId="0" fillId="17" borderId="21" xfId="0" applyNumberFormat="1" applyFill="1" applyBorder="1" applyAlignment="1">
      <alignment horizontal="center" vertical="center" wrapText="1"/>
    </xf>
    <xf numFmtId="49" fontId="0" fillId="0" borderId="21" xfId="0" applyNumberFormat="1" applyBorder="1" applyAlignment="1">
      <alignment horizontal="center" vertical="center" wrapText="1"/>
    </xf>
    <xf numFmtId="49" fontId="0" fillId="17" borderId="9" xfId="0" applyNumberFormat="1" applyFill="1" applyBorder="1" applyAlignment="1">
      <alignment horizontal="center" vertical="center" wrapText="1"/>
    </xf>
    <xf numFmtId="4" fontId="0" fillId="17" borderId="19" xfId="0" applyNumberFormat="1" applyFill="1" applyBorder="1" applyAlignment="1">
      <alignment horizontal="center" vertical="center" wrapText="1"/>
    </xf>
    <xf numFmtId="4" fontId="0" fillId="14" borderId="25" xfId="0" applyNumberFormat="1" applyFill="1" applyBorder="1" applyAlignment="1">
      <alignment horizontal="center" vertical="center" wrapText="1"/>
    </xf>
    <xf numFmtId="4" fontId="0" fillId="8" borderId="25" xfId="0" applyNumberFormat="1" applyFill="1" applyBorder="1" applyAlignment="1">
      <alignment horizontal="center" vertical="center" wrapText="1"/>
    </xf>
    <xf numFmtId="4" fontId="0" fillId="12" borderId="3" xfId="0" applyNumberFormat="1" applyFill="1" applyBorder="1" applyAlignment="1">
      <alignment horizontal="center" vertical="center" wrapText="1"/>
    </xf>
    <xf numFmtId="4" fontId="0" fillId="8" borderId="3" xfId="0" applyNumberFormat="1" applyFill="1" applyBorder="1" applyAlignment="1">
      <alignment horizontal="center" vertical="center" wrapText="1"/>
    </xf>
    <xf numFmtId="4" fontId="0" fillId="16" borderId="7" xfId="0" applyNumberFormat="1" applyFill="1" applyBorder="1" applyAlignment="1">
      <alignment horizontal="center" vertical="center" wrapText="1"/>
    </xf>
    <xf numFmtId="4" fontId="0" fillId="14" borderId="7" xfId="0" applyNumberFormat="1" applyFill="1" applyBorder="1" applyAlignment="1">
      <alignment horizontal="center" vertical="center" wrapText="1"/>
    </xf>
    <xf numFmtId="4" fontId="0" fillId="12" borderId="7" xfId="0" applyNumberFormat="1" applyFill="1" applyBorder="1" applyAlignment="1">
      <alignment horizontal="center" vertical="center" wrapText="1"/>
    </xf>
    <xf numFmtId="4" fontId="0" fillId="8" borderId="7" xfId="0" applyNumberFormat="1" applyFill="1" applyBorder="1" applyAlignment="1">
      <alignment horizontal="center" vertical="center" wrapText="1"/>
    </xf>
    <xf numFmtId="4" fontId="0" fillId="3" borderId="3" xfId="0" applyNumberFormat="1" applyFill="1" applyBorder="1" applyAlignment="1">
      <alignment horizontal="center" vertical="center" wrapText="1"/>
    </xf>
    <xf numFmtId="4" fontId="0" fillId="17" borderId="8" xfId="0" applyNumberFormat="1" applyFill="1" applyBorder="1" applyAlignment="1">
      <alignment horizontal="center" vertical="center" wrapText="1"/>
    </xf>
    <xf numFmtId="4" fontId="0" fillId="15" borderId="4" xfId="0" applyNumberFormat="1" applyFill="1" applyBorder="1" applyAlignment="1">
      <alignment horizontal="center" vertical="center" wrapText="1"/>
    </xf>
    <xf numFmtId="4" fontId="0" fillId="13" borderId="4" xfId="0" applyNumberFormat="1" applyFill="1" applyBorder="1" applyAlignment="1">
      <alignment horizontal="center" vertical="center" wrapText="1"/>
    </xf>
    <xf numFmtId="4" fontId="0" fillId="11" borderId="4" xfId="0" applyNumberFormat="1" applyFill="1" applyBorder="1" applyAlignment="1">
      <alignment horizontal="center" vertical="center" wrapText="1"/>
    </xf>
    <xf numFmtId="4" fontId="0" fillId="3" borderId="4" xfId="0" applyNumberFormat="1" applyFill="1" applyBorder="1" applyAlignment="1">
      <alignment horizontal="center" vertical="center" wrapText="1"/>
    </xf>
    <xf numFmtId="4" fontId="0" fillId="11" borderId="3" xfId="0" applyNumberFormat="1" applyFill="1" applyBorder="1" applyAlignment="1">
      <alignment horizontal="center" vertical="center" wrapText="1"/>
    </xf>
    <xf numFmtId="4" fontId="0" fillId="15" borderId="7" xfId="0" applyNumberFormat="1" applyFill="1" applyBorder="1" applyAlignment="1">
      <alignment horizontal="center" vertical="center" wrapText="1"/>
    </xf>
    <xf numFmtId="4" fontId="0" fillId="13" borderId="7" xfId="0" applyNumberFormat="1" applyFill="1" applyBorder="1" applyAlignment="1">
      <alignment horizontal="center" vertical="center" wrapText="1"/>
    </xf>
    <xf numFmtId="4" fontId="0" fillId="11" borderId="7" xfId="0" applyNumberFormat="1" applyFill="1" applyBorder="1" applyAlignment="1">
      <alignment horizontal="center" vertical="center" wrapText="1"/>
    </xf>
    <xf numFmtId="4" fontId="0" fillId="3" borderId="7" xfId="0" applyNumberFormat="1" applyFill="1" applyBorder="1" applyAlignment="1">
      <alignment horizontal="center" vertical="center" wrapText="1"/>
    </xf>
    <xf numFmtId="4" fontId="0" fillId="14" borderId="1" xfId="0" applyNumberFormat="1" applyFill="1" applyBorder="1" applyAlignment="1">
      <alignment horizontal="center" vertical="center" wrapText="1"/>
    </xf>
    <xf numFmtId="4" fontId="0" fillId="12" borderId="1" xfId="0" applyNumberFormat="1" applyFill="1" applyBorder="1" applyAlignment="1">
      <alignment horizontal="center" vertical="center" wrapText="1"/>
    </xf>
    <xf numFmtId="4" fontId="0" fillId="8" borderId="1" xfId="0" applyNumberFormat="1" applyFill="1" applyBorder="1" applyAlignment="1">
      <alignment horizontal="center" vertical="center" wrapText="1"/>
    </xf>
    <xf numFmtId="4" fontId="0" fillId="17" borderId="1" xfId="0" applyNumberFormat="1" applyFill="1" applyBorder="1" applyAlignment="1">
      <alignment horizontal="center" vertical="center" wrapText="1"/>
    </xf>
    <xf numFmtId="49" fontId="3" fillId="0" borderId="3" xfId="0" applyNumberFormat="1" applyFont="1" applyBorder="1" applyAlignment="1">
      <alignment horizontal="center" vertical="center" wrapText="1"/>
    </xf>
    <xf numFmtId="4" fontId="0" fillId="17" borderId="13" xfId="0" applyNumberFormat="1" applyFill="1" applyBorder="1" applyAlignment="1">
      <alignment horizontal="center" vertical="center" wrapText="1"/>
    </xf>
    <xf numFmtId="49" fontId="3" fillId="0" borderId="1" xfId="0" applyNumberFormat="1" applyFont="1" applyBorder="1" applyAlignment="1">
      <alignment horizontal="center" vertical="center" wrapText="1"/>
    </xf>
    <xf numFmtId="49" fontId="0" fillId="0" borderId="8" xfId="0" applyNumberFormat="1" applyBorder="1" applyAlignment="1">
      <alignment horizontal="center" vertical="center" wrapText="1"/>
    </xf>
    <xf numFmtId="4" fontId="0" fillId="17" borderId="11" xfId="0" applyNumberFormat="1" applyFill="1" applyBorder="1" applyAlignment="1">
      <alignment horizontal="center" vertical="center" wrapText="1"/>
    </xf>
    <xf numFmtId="4" fontId="0" fillId="17" borderId="7" xfId="0" applyNumberFormat="1" applyFill="1" applyBorder="1" applyAlignment="1">
      <alignment horizontal="center" vertical="center" wrapText="1"/>
    </xf>
    <xf numFmtId="4" fontId="0" fillId="16" borderId="3" xfId="0" applyNumberFormat="1" applyFill="1" applyBorder="1" applyAlignment="1">
      <alignment horizontal="center" vertical="center" wrapText="1"/>
    </xf>
    <xf numFmtId="4" fontId="0" fillId="14" borderId="3" xfId="0" applyNumberFormat="1" applyFill="1" applyBorder="1" applyAlignment="1">
      <alignment horizontal="center" vertical="center" wrapText="1"/>
    </xf>
    <xf numFmtId="0" fontId="5" fillId="0" borderId="9" xfId="0" applyFont="1" applyBorder="1" applyAlignment="1">
      <alignment horizontal="center" vertical="center" wrapText="1"/>
    </xf>
    <xf numFmtId="49" fontId="0" fillId="0" borderId="3" xfId="0" applyNumberFormat="1" applyBorder="1" applyAlignment="1">
      <alignment horizontal="center" vertical="center" wrapText="1"/>
    </xf>
    <xf numFmtId="49" fontId="0" fillId="18"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4" fontId="0" fillId="16" borderId="4" xfId="0" applyNumberFormat="1" applyFill="1" applyBorder="1" applyAlignment="1">
      <alignment horizontal="center" vertical="center" wrapText="1"/>
    </xf>
    <xf numFmtId="4" fontId="0" fillId="14" borderId="4" xfId="0" applyNumberFormat="1" applyFill="1" applyBorder="1" applyAlignment="1">
      <alignment horizontal="center" vertical="center" wrapText="1"/>
    </xf>
    <xf numFmtId="4" fontId="0" fillId="12" borderId="4" xfId="0" applyNumberFormat="1" applyFill="1" applyBorder="1" applyAlignment="1">
      <alignment horizontal="center" vertical="center" wrapText="1"/>
    </xf>
    <xf numFmtId="4" fontId="0" fillId="8" borderId="4" xfId="0" applyNumberFormat="1" applyFill="1" applyBorder="1" applyAlignment="1">
      <alignment horizontal="center" vertical="center" wrapText="1"/>
    </xf>
    <xf numFmtId="49" fontId="0" fillId="0" borderId="4" xfId="0" applyNumberFormat="1" applyBorder="1" applyAlignment="1">
      <alignment horizontal="center" vertical="center" wrapText="1"/>
    </xf>
    <xf numFmtId="4" fontId="0" fillId="14" borderId="9" xfId="0" applyNumberFormat="1" applyFill="1" applyBorder="1" applyAlignment="1">
      <alignment horizontal="center" vertical="center" wrapText="1"/>
    </xf>
    <xf numFmtId="4" fontId="0" fillId="8" borderId="9" xfId="0" applyNumberFormat="1" applyFill="1" applyBorder="1" applyAlignment="1">
      <alignment horizontal="center" vertical="center"/>
    </xf>
    <xf numFmtId="0" fontId="0" fillId="14" borderId="7" xfId="0" applyFill="1" applyBorder="1" applyAlignment="1">
      <alignment horizontal="center" vertical="center" wrapText="1"/>
    </xf>
    <xf numFmtId="4" fontId="0" fillId="8" borderId="7" xfId="0" applyNumberFormat="1" applyFill="1" applyBorder="1" applyAlignment="1">
      <alignment horizontal="center" vertical="center"/>
    </xf>
    <xf numFmtId="49" fontId="3" fillId="0" borderId="0" xfId="0" applyNumberFormat="1" applyFont="1" applyAlignment="1">
      <alignment horizontal="center" vertical="center" wrapText="1"/>
    </xf>
    <xf numFmtId="4" fontId="0" fillId="0" borderId="0" xfId="0" applyNumberFormat="1" applyAlignment="1">
      <alignment horizontal="right" wrapText="1"/>
    </xf>
    <xf numFmtId="164" fontId="0" fillId="10" borderId="1" xfId="0" applyNumberFormat="1" applyFill="1" applyBorder="1" applyAlignment="1">
      <alignment horizontal="center" vertical="center"/>
    </xf>
    <xf numFmtId="0" fontId="0" fillId="20"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1" borderId="1" xfId="0" applyFill="1" applyBorder="1" applyAlignment="1">
      <alignment horizontal="center" vertical="center"/>
    </xf>
    <xf numFmtId="0" fontId="0" fillId="20" borderId="1" xfId="0" applyFill="1" applyBorder="1" applyAlignment="1">
      <alignment horizontal="center" vertical="center"/>
    </xf>
    <xf numFmtId="4" fontId="0" fillId="21" borderId="1" xfId="0" applyNumberFormat="1" applyFill="1" applyBorder="1" applyAlignment="1">
      <alignment horizontal="center" vertical="center"/>
    </xf>
    <xf numFmtId="0" fontId="0" fillId="22" borderId="1" xfId="0" applyFill="1" applyBorder="1" applyAlignment="1">
      <alignment horizontal="center" vertical="center"/>
    </xf>
    <xf numFmtId="0" fontId="0" fillId="22" borderId="1" xfId="0" applyFill="1" applyBorder="1" applyAlignment="1">
      <alignment horizontal="center" vertical="center" wrapText="1"/>
    </xf>
    <xf numFmtId="0" fontId="0" fillId="22" borderId="4" xfId="0" applyFill="1" applyBorder="1" applyAlignment="1">
      <alignment horizontal="center" vertical="center"/>
    </xf>
    <xf numFmtId="166" fontId="0" fillId="20" borderId="1" xfId="0" applyNumberFormat="1" applyFill="1" applyBorder="1" applyAlignment="1">
      <alignment horizontal="center" vertical="center"/>
    </xf>
    <xf numFmtId="49" fontId="3" fillId="22" borderId="1" xfId="0" applyNumberFormat="1" applyFont="1" applyFill="1" applyBorder="1" applyAlignment="1">
      <alignment horizontal="center" vertical="center" wrapText="1"/>
    </xf>
    <xf numFmtId="49" fontId="3" fillId="22" borderId="4" xfId="0" applyNumberFormat="1" applyFont="1" applyFill="1" applyBorder="1" applyAlignment="1">
      <alignment horizontal="center" vertical="center" wrapText="1"/>
    </xf>
    <xf numFmtId="166" fontId="0" fillId="0" borderId="0" xfId="0" applyNumberFormat="1" applyAlignment="1">
      <alignment horizontal="center" vertical="center"/>
    </xf>
    <xf numFmtId="0" fontId="0" fillId="22" borderId="22" xfId="0" applyFill="1" applyBorder="1" applyAlignment="1">
      <alignment vertical="center"/>
    </xf>
    <xf numFmtId="0" fontId="0" fillId="22" borderId="4" xfId="0" applyFill="1" applyBorder="1" applyAlignment="1">
      <alignment vertical="center"/>
    </xf>
    <xf numFmtId="4" fontId="0" fillId="23" borderId="1" xfId="0" applyNumberFormat="1" applyFill="1" applyBorder="1" applyAlignment="1">
      <alignment horizontal="center" vertical="center" wrapText="1"/>
    </xf>
    <xf numFmtId="4" fontId="6" fillId="23" borderId="1" xfId="0" applyNumberFormat="1" applyFont="1" applyFill="1" applyBorder="1" applyAlignment="1">
      <alignment horizontal="center" vertical="center" wrapText="1"/>
    </xf>
    <xf numFmtId="4" fontId="0" fillId="20" borderId="1" xfId="0" applyNumberFormat="1" applyFill="1" applyBorder="1" applyAlignment="1">
      <alignment horizontal="center" vertical="center" wrapText="1"/>
    </xf>
    <xf numFmtId="14" fontId="0" fillId="0" borderId="0" xfId="0" applyNumberFormat="1" applyAlignment="1">
      <alignment wrapText="1"/>
    </xf>
    <xf numFmtId="0" fontId="0" fillId="0" borderId="5" xfId="0" applyBorder="1"/>
    <xf numFmtId="0" fontId="0" fillId="0" borderId="2" xfId="0" applyBorder="1"/>
    <xf numFmtId="0" fontId="3" fillId="0" borderId="0" xfId="0" applyFont="1" applyAlignment="1">
      <alignment vertical="center" wrapText="1"/>
    </xf>
    <xf numFmtId="0" fontId="3" fillId="0" borderId="1" xfId="0" applyFont="1" applyBorder="1" applyAlignment="1">
      <alignment horizontal="center" vertical="center" wrapText="1"/>
    </xf>
    <xf numFmtId="0" fontId="7" fillId="0" borderId="0" xfId="0" applyFont="1" applyAlignment="1">
      <alignment vertical="center"/>
    </xf>
    <xf numFmtId="4" fontId="0" fillId="7" borderId="5" xfId="0" applyNumberFormat="1" applyFill="1" applyBorder="1" applyAlignment="1">
      <alignment horizontal="center" vertical="center" wrapText="1"/>
    </xf>
    <xf numFmtId="1" fontId="0" fillId="17" borderId="9" xfId="0" applyNumberFormat="1" applyFill="1" applyBorder="1" applyAlignment="1">
      <alignment horizontal="center" vertical="center" wrapText="1"/>
    </xf>
    <xf numFmtId="1" fontId="0" fillId="0" borderId="9" xfId="0" applyNumberFormat="1" applyBorder="1" applyAlignment="1">
      <alignment horizontal="center" vertical="center" wrapText="1"/>
    </xf>
    <xf numFmtId="1" fontId="0" fillId="0" borderId="21" xfId="0" applyNumberFormat="1" applyBorder="1" applyAlignment="1">
      <alignment horizontal="center" vertical="center" wrapText="1"/>
    </xf>
    <xf numFmtId="1" fontId="0" fillId="0" borderId="8" xfId="0" applyNumberFormat="1" applyBorder="1" applyAlignment="1">
      <alignment horizontal="center" vertical="center" wrapText="1"/>
    </xf>
    <xf numFmtId="1" fontId="5" fillId="0" borderId="9" xfId="0" applyNumberFormat="1" applyFont="1" applyBorder="1" applyAlignment="1">
      <alignment horizontal="center" vertical="center" wrapText="1"/>
    </xf>
    <xf numFmtId="4" fontId="0" fillId="9" borderId="1" xfId="0" applyNumberFormat="1" applyFill="1" applyBorder="1" applyAlignment="1">
      <alignment horizontal="center" vertical="center" wrapText="1"/>
    </xf>
    <xf numFmtId="4" fontId="0" fillId="9" borderId="3" xfId="0" applyNumberFormat="1" applyFill="1" applyBorder="1" applyAlignment="1">
      <alignment horizontal="center" vertical="center" wrapText="1"/>
    </xf>
    <xf numFmtId="4" fontId="0" fillId="7" borderId="14" xfId="0" applyNumberFormat="1" applyFill="1" applyBorder="1" applyAlignment="1">
      <alignment horizontal="center" vertical="center" wrapText="1"/>
    </xf>
    <xf numFmtId="4" fontId="0" fillId="10" borderId="1" xfId="0" applyNumberFormat="1" applyFill="1" applyBorder="1" applyAlignment="1">
      <alignment horizontal="center" vertical="center"/>
    </xf>
    <xf numFmtId="4" fontId="0" fillId="22" borderId="1" xfId="0" applyNumberFormat="1" applyFill="1" applyBorder="1" applyAlignment="1">
      <alignment horizontal="center" vertical="center"/>
    </xf>
    <xf numFmtId="0" fontId="0" fillId="23" borderId="1" xfId="0" applyFill="1" applyBorder="1" applyAlignment="1">
      <alignment horizontal="center" vertical="center" wrapText="1"/>
    </xf>
    <xf numFmtId="4" fontId="0" fillId="23" borderId="1" xfId="0" applyNumberFormat="1" applyFill="1" applyBorder="1" applyAlignment="1">
      <alignment horizontal="center" vertical="center"/>
    </xf>
    <xf numFmtId="4" fontId="0" fillId="20" borderId="1" xfId="0" applyNumberFormat="1" applyFill="1" applyBorder="1" applyAlignment="1">
      <alignment horizontal="center" vertical="center"/>
    </xf>
    <xf numFmtId="4" fontId="0" fillId="7" borderId="24" xfId="0" applyNumberFormat="1" applyFill="1" applyBorder="1" applyAlignment="1">
      <alignment horizontal="center" vertical="center" wrapText="1"/>
    </xf>
    <xf numFmtId="0" fontId="0" fillId="23" borderId="1" xfId="0" applyFill="1" applyBorder="1" applyAlignment="1">
      <alignment horizontal="center" vertical="center"/>
    </xf>
    <xf numFmtId="49" fontId="3" fillId="23"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3" xfId="0" applyNumberFormat="1" applyBorder="1" applyAlignment="1">
      <alignment horizontal="center" vertical="center" wrapText="1"/>
    </xf>
    <xf numFmtId="4" fontId="0" fillId="20" borderId="5" xfId="0" applyNumberFormat="1" applyFill="1" applyBorder="1" applyAlignment="1">
      <alignment horizontal="center" vertical="center" wrapText="1"/>
    </xf>
    <xf numFmtId="4" fontId="0" fillId="0" borderId="8" xfId="0" applyNumberFormat="1" applyBorder="1" applyAlignment="1">
      <alignment wrapText="1"/>
    </xf>
    <xf numFmtId="4" fontId="0" fillId="25" borderId="2" xfId="0" applyNumberFormat="1" applyFill="1" applyBorder="1" applyAlignment="1">
      <alignment horizontal="center" vertical="center" wrapText="1"/>
    </xf>
    <xf numFmtId="4" fontId="0" fillId="25" borderId="1" xfId="0" applyNumberFormat="1" applyFill="1" applyBorder="1" applyAlignment="1">
      <alignment horizontal="center" vertical="center" wrapText="1"/>
    </xf>
    <xf numFmtId="4" fontId="0" fillId="25" borderId="1" xfId="0" applyNumberFormat="1" applyFill="1" applyBorder="1" applyAlignment="1">
      <alignment horizontal="center" vertical="center"/>
    </xf>
    <xf numFmtId="0" fontId="0" fillId="25" borderId="1" xfId="0" applyFill="1" applyBorder="1" applyAlignment="1">
      <alignment horizontal="center" vertical="center"/>
    </xf>
    <xf numFmtId="4" fontId="0" fillId="26" borderId="1" xfId="0" applyNumberFormat="1" applyFill="1" applyBorder="1" applyAlignment="1">
      <alignment horizontal="center" vertical="center"/>
    </xf>
    <xf numFmtId="0" fontId="0" fillId="26" borderId="1" xfId="0" applyFill="1" applyBorder="1" applyAlignment="1">
      <alignment horizontal="center" vertical="center"/>
    </xf>
    <xf numFmtId="4" fontId="0" fillId="0" borderId="0" xfId="0" applyNumberFormat="1" applyAlignment="1">
      <alignment vertical="center"/>
    </xf>
    <xf numFmtId="0" fontId="0" fillId="20" borderId="22" xfId="0" applyFill="1" applyBorder="1" applyAlignment="1">
      <alignment horizontal="center" vertical="center"/>
    </xf>
    <xf numFmtId="0" fontId="0" fillId="17" borderId="1" xfId="0" applyFill="1" applyBorder="1" applyAlignment="1">
      <alignment horizontal="center" vertical="center" wrapText="1"/>
    </xf>
    <xf numFmtId="4" fontId="0" fillId="17" borderId="1" xfId="0" applyNumberFormat="1" applyFill="1" applyBorder="1" applyAlignment="1">
      <alignment horizontal="center" vertical="center"/>
    </xf>
    <xf numFmtId="0" fontId="0" fillId="20" borderId="1" xfId="0" applyFill="1" applyBorder="1" applyAlignment="1">
      <alignment vertical="center"/>
    </xf>
    <xf numFmtId="0" fontId="0" fillId="25" borderId="1" xfId="0" applyFill="1" applyBorder="1" applyAlignment="1">
      <alignment vertical="center"/>
    </xf>
    <xf numFmtId="4" fontId="0" fillId="17" borderId="4" xfId="0" applyNumberFormat="1" applyFill="1" applyBorder="1" applyAlignment="1">
      <alignment horizontal="center" vertical="center"/>
    </xf>
    <xf numFmtId="0" fontId="0" fillId="17" borderId="1" xfId="0" applyFill="1" applyBorder="1" applyAlignment="1">
      <alignment horizontal="center" vertical="center"/>
    </xf>
    <xf numFmtId="4" fontId="0" fillId="20" borderId="1" xfId="0" quotePrefix="1" applyNumberFormat="1" applyFill="1" applyBorder="1" applyAlignment="1">
      <alignment horizontal="center" vertical="center" wrapText="1"/>
    </xf>
    <xf numFmtId="4" fontId="0" fillId="0" borderId="0" xfId="0" applyNumberFormat="1" applyAlignment="1">
      <alignment vertical="center" wrapText="1"/>
    </xf>
    <xf numFmtId="0" fontId="0" fillId="25" borderId="1" xfId="0" applyFill="1" applyBorder="1" applyAlignment="1">
      <alignment horizontal="center" vertical="center" wrapText="1"/>
    </xf>
    <xf numFmtId="0" fontId="0" fillId="10" borderId="4" xfId="0" applyFill="1" applyBorder="1" applyAlignment="1">
      <alignment horizontal="center" vertical="center"/>
    </xf>
    <xf numFmtId="1" fontId="0" fillId="17" borderId="7" xfId="0" applyNumberFormat="1" applyFill="1" applyBorder="1" applyAlignment="1">
      <alignment horizontal="center" vertical="center" wrapText="1"/>
    </xf>
    <xf numFmtId="49" fontId="0" fillId="17" borderId="7" xfId="0" applyNumberFormat="1" applyFill="1" applyBorder="1" applyAlignment="1">
      <alignment horizontal="center" vertical="center" wrapText="1"/>
    </xf>
    <xf numFmtId="0" fontId="5" fillId="0" borderId="7" xfId="0" applyFont="1" applyBorder="1" applyAlignment="1">
      <alignment horizontal="center" vertical="center" wrapText="1"/>
    </xf>
    <xf numFmtId="1" fontId="5" fillId="0" borderId="7" xfId="0" applyNumberFormat="1" applyFont="1" applyBorder="1" applyAlignment="1">
      <alignment horizontal="center" vertical="center" wrapText="1"/>
    </xf>
    <xf numFmtId="4" fontId="2" fillId="3" borderId="1" xfId="0" applyNumberFormat="1" applyFont="1" applyFill="1" applyBorder="1" applyAlignment="1">
      <alignment horizontal="center" vertical="center"/>
    </xf>
    <xf numFmtId="49" fontId="3" fillId="20" borderId="1" xfId="0" applyNumberFormat="1" applyFont="1" applyFill="1" applyBorder="1" applyAlignment="1">
      <alignment horizontal="center" vertical="center" wrapText="1"/>
    </xf>
    <xf numFmtId="166" fontId="0" fillId="9" borderId="1" xfId="0" applyNumberFormat="1" applyFill="1" applyBorder="1" applyAlignment="1">
      <alignment horizontal="center" vertical="center" wrapText="1"/>
    </xf>
    <xf numFmtId="49" fontId="0" fillId="0" borderId="9" xfId="0" quotePrefix="1" applyNumberFormat="1" applyBorder="1" applyAlignment="1">
      <alignment horizontal="center" vertical="center" wrapText="1"/>
    </xf>
    <xf numFmtId="166" fontId="0" fillId="9" borderId="3" xfId="0" applyNumberFormat="1" applyFill="1" applyBorder="1" applyAlignment="1">
      <alignment horizontal="center" vertical="center" wrapText="1"/>
    </xf>
    <xf numFmtId="4" fontId="0" fillId="17" borderId="1" xfId="0" quotePrefix="1" applyNumberFormat="1" applyFill="1" applyBorder="1" applyAlignment="1">
      <alignment horizontal="center" vertical="center" wrapText="1"/>
    </xf>
    <xf numFmtId="3" fontId="0" fillId="17" borderId="1" xfId="0" applyNumberFormat="1" applyFill="1" applyBorder="1" applyAlignment="1">
      <alignment horizontal="center" vertical="center"/>
    </xf>
    <xf numFmtId="3" fontId="0" fillId="0" borderId="0" xfId="0" applyNumberFormat="1" applyAlignment="1">
      <alignment horizontal="center" vertical="center"/>
    </xf>
    <xf numFmtId="3" fontId="0" fillId="20" borderId="1" xfId="0" applyNumberFormat="1" applyFill="1" applyBorder="1" applyAlignment="1">
      <alignment horizontal="center" vertical="center" wrapText="1"/>
    </xf>
    <xf numFmtId="49" fontId="0" fillId="0" borderId="7" xfId="0" applyNumberFormat="1" applyBorder="1" applyAlignment="1">
      <alignment horizontal="center" vertical="center" wrapText="1"/>
    </xf>
    <xf numFmtId="1" fontId="0" fillId="0" borderId="7" xfId="0" applyNumberFormat="1" applyBorder="1" applyAlignment="1">
      <alignment horizontal="center" vertical="center" wrapText="1"/>
    </xf>
    <xf numFmtId="4" fontId="2" fillId="20" borderId="1" xfId="0" applyNumberFormat="1" applyFont="1" applyFill="1" applyBorder="1" applyAlignment="1">
      <alignment horizontal="center" vertical="center" wrapText="1"/>
    </xf>
    <xf numFmtId="4" fontId="0" fillId="20" borderId="22" xfId="0" applyNumberFormat="1" applyFill="1" applyBorder="1" applyAlignment="1">
      <alignment horizontal="center" vertical="center"/>
    </xf>
    <xf numFmtId="4" fontId="3" fillId="0" borderId="0" xfId="0" applyNumberFormat="1" applyFont="1" applyAlignment="1">
      <alignment wrapText="1"/>
    </xf>
    <xf numFmtId="4" fontId="3" fillId="20" borderId="1" xfId="0" applyNumberFormat="1" applyFont="1" applyFill="1" applyBorder="1" applyAlignment="1">
      <alignment horizontal="center" vertical="center" wrapText="1"/>
    </xf>
    <xf numFmtId="167" fontId="3" fillId="20" borderId="1" xfId="0" applyNumberFormat="1" applyFont="1" applyFill="1" applyBorder="1" applyAlignment="1">
      <alignment horizontal="center" vertical="center" wrapText="1"/>
    </xf>
    <xf numFmtId="4" fontId="0" fillId="25" borderId="1" xfId="0" quotePrefix="1" applyNumberFormat="1" applyFill="1" applyBorder="1" applyAlignment="1">
      <alignment horizontal="center" vertical="center" wrapText="1"/>
    </xf>
    <xf numFmtId="4" fontId="2" fillId="25" borderId="1" xfId="0" applyNumberFormat="1" applyFont="1" applyFill="1" applyBorder="1" applyAlignment="1">
      <alignment horizontal="center" vertical="center" wrapText="1"/>
    </xf>
    <xf numFmtId="4" fontId="2" fillId="17" borderId="1" xfId="0" applyNumberFormat="1" applyFont="1" applyFill="1" applyBorder="1" applyAlignment="1">
      <alignment horizontal="center" vertical="center" wrapText="1"/>
    </xf>
    <xf numFmtId="3" fontId="0" fillId="17" borderId="1" xfId="0" applyNumberFormat="1" applyFill="1" applyBorder="1" applyAlignment="1">
      <alignment horizontal="center" vertical="center" wrapText="1"/>
    </xf>
    <xf numFmtId="4" fontId="0" fillId="0" borderId="0" xfId="0" quotePrefix="1" applyNumberFormat="1" applyAlignment="1">
      <alignment horizontal="center" vertical="center" wrapText="1"/>
    </xf>
    <xf numFmtId="4" fontId="2" fillId="0" borderId="0" xfId="0" applyNumberFormat="1" applyFont="1" applyAlignment="1">
      <alignment horizontal="center" vertical="center" wrapText="1"/>
    </xf>
    <xf numFmtId="3" fontId="2" fillId="17" borderId="1" xfId="0" applyNumberFormat="1" applyFont="1" applyFill="1" applyBorder="1" applyAlignment="1">
      <alignment horizontal="center" vertical="center" wrapText="1"/>
    </xf>
    <xf numFmtId="4" fontId="0" fillId="20" borderId="32" xfId="0" applyNumberFormat="1" applyFill="1" applyBorder="1" applyAlignment="1">
      <alignment horizontal="center" vertical="center" wrapText="1"/>
    </xf>
    <xf numFmtId="4" fontId="0" fillId="20" borderId="33" xfId="0" applyNumberFormat="1" applyFill="1" applyBorder="1" applyAlignment="1">
      <alignment horizontal="center" vertical="center" wrapText="1"/>
    </xf>
    <xf numFmtId="4" fontId="0" fillId="20" borderId="32" xfId="0" quotePrefix="1" applyNumberFormat="1" applyFill="1" applyBorder="1" applyAlignment="1">
      <alignment horizontal="center" vertical="center" wrapText="1"/>
    </xf>
    <xf numFmtId="4" fontId="0" fillId="20" borderId="33" xfId="0" quotePrefix="1" applyNumberFormat="1" applyFill="1" applyBorder="1" applyAlignment="1">
      <alignment horizontal="center" vertical="center" wrapText="1"/>
    </xf>
    <xf numFmtId="0" fontId="0" fillId="20" borderId="32" xfId="0" applyFill="1" applyBorder="1" applyAlignment="1">
      <alignment horizontal="center" vertical="center"/>
    </xf>
    <xf numFmtId="0" fontId="0" fillId="20" borderId="34" xfId="0" applyFill="1" applyBorder="1" applyAlignment="1">
      <alignment horizontal="center" vertical="center"/>
    </xf>
    <xf numFmtId="4" fontId="0" fillId="20" borderId="3" xfId="0" quotePrefix="1" applyNumberFormat="1" applyFill="1" applyBorder="1" applyAlignment="1">
      <alignment horizontal="center" vertical="center" wrapText="1"/>
    </xf>
    <xf numFmtId="4" fontId="0" fillId="20" borderId="35" xfId="0" quotePrefix="1" applyNumberFormat="1" applyFill="1" applyBorder="1" applyAlignment="1">
      <alignment horizontal="center" vertical="center" wrapText="1"/>
    </xf>
    <xf numFmtId="0" fontId="0" fillId="17" borderId="1" xfId="0" quotePrefix="1" applyFill="1" applyBorder="1" applyAlignment="1">
      <alignment horizontal="center" vertical="center"/>
    </xf>
    <xf numFmtId="0" fontId="0" fillId="25" borderId="1" xfId="0" quotePrefix="1" applyFill="1" applyBorder="1" applyAlignment="1">
      <alignment horizontal="center" vertical="center"/>
    </xf>
    <xf numFmtId="0" fontId="0" fillId="20" borderId="1" xfId="0" quotePrefix="1" applyFill="1" applyBorder="1" applyAlignment="1">
      <alignment horizontal="center" vertical="center"/>
    </xf>
    <xf numFmtId="49" fontId="3" fillId="10" borderId="1" xfId="0" applyNumberFormat="1" applyFont="1" applyFill="1" applyBorder="1" applyAlignment="1">
      <alignment horizontal="center" vertical="center" wrapText="1"/>
    </xf>
    <xf numFmtId="49" fontId="3" fillId="10" borderId="4" xfId="0" applyNumberFormat="1" applyFont="1" applyFill="1" applyBorder="1" applyAlignment="1">
      <alignment horizontal="center" vertical="center" wrapText="1"/>
    </xf>
    <xf numFmtId="0" fontId="0" fillId="20" borderId="1" xfId="0" applyFill="1" applyBorder="1"/>
    <xf numFmtId="0" fontId="0" fillId="25" borderId="1" xfId="0" applyFill="1" applyBorder="1"/>
    <xf numFmtId="0" fontId="0" fillId="22" borderId="14" xfId="0" applyFill="1" applyBorder="1" applyAlignment="1">
      <alignment horizontal="center" vertical="center"/>
    </xf>
    <xf numFmtId="0" fontId="0" fillId="22" borderId="20" xfId="0" applyFill="1" applyBorder="1" applyAlignment="1">
      <alignment horizontal="center" vertical="center"/>
    </xf>
    <xf numFmtId="0" fontId="0" fillId="22" borderId="15" xfId="0" applyFill="1" applyBorder="1" applyAlignment="1">
      <alignment horizontal="left" vertical="center"/>
    </xf>
    <xf numFmtId="4" fontId="0" fillId="17" borderId="21" xfId="0" applyNumberFormat="1" applyFill="1" applyBorder="1" applyAlignment="1">
      <alignment vertical="center" wrapText="1"/>
    </xf>
    <xf numFmtId="4" fontId="0" fillId="17" borderId="8" xfId="0" applyNumberFormat="1" applyFill="1" applyBorder="1" applyAlignment="1">
      <alignment vertical="center" wrapText="1"/>
    </xf>
    <xf numFmtId="4" fontId="0" fillId="9" borderId="9" xfId="0" applyNumberFormat="1" applyFill="1" applyBorder="1" applyAlignment="1">
      <alignment horizontal="center" vertical="center" wrapText="1"/>
    </xf>
    <xf numFmtId="4" fontId="0" fillId="17" borderId="9" xfId="0" applyNumberFormat="1" applyFill="1" applyBorder="1" applyAlignment="1">
      <alignment vertical="center" wrapText="1"/>
    </xf>
    <xf numFmtId="0" fontId="7" fillId="0" borderId="0" xfId="0" applyFont="1"/>
    <xf numFmtId="0" fontId="7" fillId="0" borderId="20" xfId="0" applyFont="1" applyBorder="1"/>
    <xf numFmtId="4" fontId="7" fillId="0" borderId="0" xfId="0" applyNumberFormat="1" applyFont="1" applyAlignment="1">
      <alignment vertical="center" wrapText="1"/>
    </xf>
    <xf numFmtId="3" fontId="0" fillId="26" borderId="1" xfId="0" applyNumberFormat="1" applyFill="1" applyBorder="1" applyAlignment="1">
      <alignment horizontal="center" vertical="center"/>
    </xf>
    <xf numFmtId="3" fontId="0" fillId="17" borderId="4" xfId="0" applyNumberFormat="1" applyFill="1" applyBorder="1" applyAlignment="1">
      <alignment horizontal="center" vertical="center"/>
    </xf>
    <xf numFmtId="4" fontId="7" fillId="0" borderId="20" xfId="0" applyNumberFormat="1" applyFont="1" applyBorder="1" applyAlignment="1">
      <alignment wrapText="1"/>
    </xf>
    <xf numFmtId="0" fontId="7" fillId="0" borderId="0" xfId="0" applyFont="1" applyAlignment="1">
      <alignment horizontal="center" vertical="center"/>
    </xf>
    <xf numFmtId="0" fontId="0" fillId="20" borderId="33" xfId="0" applyFill="1" applyBorder="1" applyAlignment="1">
      <alignment horizontal="center" vertical="center"/>
    </xf>
    <xf numFmtId="0" fontId="0" fillId="20" borderId="44" xfId="0" applyFill="1" applyBorder="1" applyAlignment="1">
      <alignment horizontal="center" vertical="center"/>
    </xf>
    <xf numFmtId="4" fontId="0" fillId="20" borderId="40" xfId="0" applyNumberFormat="1" applyFill="1" applyBorder="1" applyAlignment="1">
      <alignment horizontal="center" vertical="center"/>
    </xf>
    <xf numFmtId="4" fontId="0" fillId="20" borderId="33" xfId="0" applyNumberFormat="1" applyFill="1" applyBorder="1" applyAlignment="1">
      <alignment horizontal="center" vertical="center"/>
    </xf>
    <xf numFmtId="0" fontId="0" fillId="20" borderId="45" xfId="0" applyFill="1" applyBorder="1" applyAlignment="1">
      <alignment horizontal="center" vertical="center"/>
    </xf>
    <xf numFmtId="4" fontId="0" fillId="20" borderId="41" xfId="0" applyNumberFormat="1" applyFill="1" applyBorder="1" applyAlignment="1">
      <alignment horizontal="center" vertical="center"/>
    </xf>
    <xf numFmtId="4" fontId="0" fillId="20" borderId="35" xfId="0" applyNumberFormat="1" applyFill="1" applyBorder="1" applyAlignment="1">
      <alignment horizontal="center" vertical="center"/>
    </xf>
    <xf numFmtId="0" fontId="0" fillId="20" borderId="4" xfId="0" applyFill="1" applyBorder="1" applyAlignment="1">
      <alignment vertical="center"/>
    </xf>
    <xf numFmtId="4" fontId="7" fillId="0" borderId="0" xfId="0" applyNumberFormat="1" applyFont="1" applyAlignment="1">
      <alignment wrapText="1"/>
    </xf>
    <xf numFmtId="4" fontId="0" fillId="9" borderId="7" xfId="0" applyNumberFormat="1" applyFill="1" applyBorder="1" applyAlignment="1">
      <alignment horizontal="center" vertical="center" wrapText="1"/>
    </xf>
    <xf numFmtId="4" fontId="0" fillId="14" borderId="1" xfId="0" quotePrefix="1" applyNumberFormat="1" applyFill="1" applyBorder="1" applyAlignment="1">
      <alignment horizontal="center" vertical="center" wrapText="1"/>
    </xf>
    <xf numFmtId="4" fontId="0" fillId="11" borderId="3" xfId="0" applyNumberFormat="1" applyFill="1" applyBorder="1" applyAlignment="1">
      <alignment horizontal="center" vertical="center"/>
    </xf>
    <xf numFmtId="4" fontId="0" fillId="13" borderId="3" xfId="0" applyNumberFormat="1" applyFill="1" applyBorder="1" applyAlignment="1">
      <alignment horizontal="center" vertical="center"/>
    </xf>
    <xf numFmtId="4" fontId="0" fillId="15" borderId="3" xfId="0" applyNumberFormat="1" applyFill="1" applyBorder="1" applyAlignment="1">
      <alignment horizontal="center" vertical="center"/>
    </xf>
    <xf numFmtId="4" fontId="0" fillId="3" borderId="24" xfId="0" applyNumberFormat="1" applyFill="1" applyBorder="1" applyAlignment="1">
      <alignment vertical="center"/>
    </xf>
    <xf numFmtId="4" fontId="0" fillId="3" borderId="3" xfId="0" applyNumberFormat="1" applyFill="1" applyBorder="1" applyAlignment="1">
      <alignment vertical="center"/>
    </xf>
    <xf numFmtId="4" fontId="0" fillId="11" borderId="24" xfId="0" applyNumberFormat="1" applyFill="1" applyBorder="1" applyAlignment="1">
      <alignment vertical="center"/>
    </xf>
    <xf numFmtId="4" fontId="0" fillId="11" borderId="3" xfId="0" applyNumberFormat="1" applyFill="1" applyBorder="1" applyAlignment="1">
      <alignment vertical="center"/>
    </xf>
    <xf numFmtId="49" fontId="0" fillId="0" borderId="1" xfId="0" quotePrefix="1" applyNumberFormat="1" applyBorder="1" applyAlignment="1">
      <alignment horizontal="center" vertical="center" wrapText="1"/>
    </xf>
    <xf numFmtId="0" fontId="0" fillId="21" borderId="5" xfId="0" applyFill="1" applyBorder="1" applyAlignment="1">
      <alignment horizontal="center" vertical="center" wrapText="1"/>
    </xf>
    <xf numFmtId="0" fontId="0" fillId="21" borderId="6" xfId="0" applyFill="1" applyBorder="1" applyAlignment="1">
      <alignment horizontal="center" vertical="center"/>
    </xf>
    <xf numFmtId="0" fontId="0" fillId="0" borderId="1" xfId="0" quotePrefix="1" applyBorder="1" applyAlignment="1">
      <alignment horizontal="center" vertical="center"/>
    </xf>
    <xf numFmtId="49" fontId="0" fillId="17" borderId="4" xfId="0" applyNumberFormat="1" applyFill="1" applyBorder="1" applyAlignment="1">
      <alignment horizontal="center" vertical="center" wrapText="1"/>
    </xf>
    <xf numFmtId="1" fontId="0" fillId="17" borderId="4" xfId="0" applyNumberFormat="1" applyFill="1" applyBorder="1" applyAlignment="1">
      <alignment horizontal="center" vertical="center" wrapText="1"/>
    </xf>
    <xf numFmtId="4" fontId="0" fillId="3" borderId="9" xfId="0" applyNumberFormat="1" applyFill="1" applyBorder="1" applyAlignment="1">
      <alignment horizontal="center" vertical="center"/>
    </xf>
    <xf numFmtId="0" fontId="0" fillId="17" borderId="2" xfId="0" applyFill="1" applyBorder="1" applyAlignment="1">
      <alignment horizontal="center" vertical="center"/>
    </xf>
    <xf numFmtId="0" fontId="0" fillId="17" borderId="1" xfId="0" applyFill="1" applyBorder="1" applyAlignment="1">
      <alignment vertical="center"/>
    </xf>
    <xf numFmtId="0" fontId="0" fillId="0" borderId="2" xfId="0" applyBorder="1" applyAlignment="1">
      <alignment horizontal="center" vertical="center" wrapText="1"/>
    </xf>
    <xf numFmtId="4" fontId="0" fillId="12" borderId="12" xfId="0" applyNumberFormat="1" applyFill="1" applyBorder="1" applyAlignment="1">
      <alignment horizontal="center" vertical="center" wrapText="1"/>
    </xf>
    <xf numFmtId="4" fontId="0" fillId="12" borderId="13" xfId="0" applyNumberFormat="1" applyFill="1" applyBorder="1" applyAlignment="1">
      <alignment horizontal="center" vertical="center" wrapText="1"/>
    </xf>
    <xf numFmtId="4" fontId="0" fillId="14" borderId="12" xfId="0" applyNumberFormat="1" applyFill="1" applyBorder="1" applyAlignment="1">
      <alignment horizontal="center" vertical="center" wrapText="1"/>
    </xf>
    <xf numFmtId="4" fontId="0" fillId="14" borderId="13" xfId="0" applyNumberFormat="1" applyFill="1" applyBorder="1" applyAlignment="1">
      <alignment horizontal="center" vertical="center" wrapText="1"/>
    </xf>
    <xf numFmtId="4" fontId="0" fillId="16" borderId="12" xfId="0" applyNumberFormat="1" applyFill="1" applyBorder="1" applyAlignment="1">
      <alignment horizontal="center" vertical="center" wrapText="1"/>
    </xf>
    <xf numFmtId="4" fontId="0" fillId="16" borderId="13" xfId="0" applyNumberFormat="1" applyFill="1" applyBorder="1" applyAlignment="1">
      <alignment horizontal="center" vertical="center" wrapText="1"/>
    </xf>
    <xf numFmtId="4" fontId="0" fillId="8" borderId="12" xfId="0" applyNumberFormat="1" applyFill="1" applyBorder="1" applyAlignment="1">
      <alignment horizontal="center" vertical="center" wrapText="1"/>
    </xf>
    <xf numFmtId="4" fontId="0" fillId="8" borderId="13" xfId="0" applyNumberFormat="1" applyFill="1" applyBorder="1" applyAlignment="1">
      <alignment horizontal="center" vertical="center" wrapText="1"/>
    </xf>
    <xf numFmtId="4" fontId="0" fillId="21" borderId="5" xfId="0" quotePrefix="1" applyNumberFormat="1" applyFill="1" applyBorder="1" applyAlignment="1">
      <alignment horizontal="right" vertical="center"/>
    </xf>
    <xf numFmtId="4" fontId="0" fillId="21" borderId="2" xfId="0" applyNumberFormat="1" applyFill="1" applyBorder="1" applyAlignment="1">
      <alignment horizontal="left" vertical="center"/>
    </xf>
    <xf numFmtId="4" fontId="0" fillId="21" borderId="5" xfId="0" applyNumberFormat="1" applyFill="1" applyBorder="1" applyAlignment="1">
      <alignment horizontal="right" vertical="center"/>
    </xf>
    <xf numFmtId="4" fontId="0" fillId="14" borderId="0" xfId="0" applyNumberFormat="1" applyFill="1" applyAlignment="1">
      <alignment horizontal="center" vertical="center" wrapText="1"/>
    </xf>
    <xf numFmtId="4" fontId="0" fillId="16" borderId="0" xfId="0" applyNumberFormat="1" applyFill="1" applyAlignment="1">
      <alignment horizontal="center" vertical="center" wrapText="1"/>
    </xf>
    <xf numFmtId="4" fontId="0" fillId="12" borderId="0" xfId="0" applyNumberFormat="1" applyFill="1" applyAlignment="1">
      <alignment horizontal="center" vertical="center" wrapText="1"/>
    </xf>
    <xf numFmtId="0" fontId="0" fillId="0" borderId="8" xfId="0" applyBorder="1" applyAlignment="1">
      <alignment horizontal="center" vertical="center" wrapText="1"/>
    </xf>
    <xf numFmtId="0" fontId="0" fillId="17" borderId="5" xfId="0" applyFill="1" applyBorder="1" applyAlignment="1">
      <alignment horizontal="center" vertical="center"/>
    </xf>
    <xf numFmtId="4" fontId="0" fillId="17" borderId="6" xfId="0" applyNumberFormat="1" applyFill="1" applyBorder="1" applyAlignment="1">
      <alignment horizontal="center" vertical="center"/>
    </xf>
    <xf numFmtId="4" fontId="0" fillId="8" borderId="8" xfId="0" applyNumberFormat="1" applyFill="1" applyBorder="1" applyAlignment="1">
      <alignment horizontal="center" vertical="center" wrapText="1"/>
    </xf>
    <xf numFmtId="4" fontId="0" fillId="0" borderId="12" xfId="0" applyNumberFormat="1" applyBorder="1" applyAlignment="1">
      <alignment horizontal="center" vertical="center" wrapText="1"/>
    </xf>
    <xf numFmtId="0" fontId="7" fillId="24" borderId="0" xfId="0" applyFont="1" applyFill="1" applyAlignment="1">
      <alignment vertical="center"/>
    </xf>
    <xf numFmtId="4" fontId="0" fillId="17" borderId="26" xfId="0" applyNumberFormat="1" applyFill="1" applyBorder="1" applyAlignment="1">
      <alignment vertical="center" wrapText="1"/>
    </xf>
    <xf numFmtId="4" fontId="0" fillId="17" borderId="12" xfId="0" applyNumberFormat="1" applyFill="1" applyBorder="1" applyAlignment="1">
      <alignment vertical="center" wrapText="1"/>
    </xf>
    <xf numFmtId="4" fontId="0" fillId="9" borderId="4" xfId="0" applyNumberFormat="1" applyFill="1" applyBorder="1" applyAlignment="1">
      <alignment vertical="center" wrapText="1"/>
    </xf>
    <xf numFmtId="1" fontId="0" fillId="0" borderId="27" xfId="0" applyNumberFormat="1" applyBorder="1" applyAlignment="1">
      <alignment horizontal="center" vertical="center" wrapText="1"/>
    </xf>
    <xf numFmtId="49" fontId="0" fillId="0" borderId="21" xfId="0" applyNumberFormat="1" applyBorder="1" applyAlignment="1">
      <alignment vertical="center" wrapText="1"/>
    </xf>
    <xf numFmtId="4" fontId="0" fillId="17" borderId="17" xfId="0" applyNumberFormat="1" applyFill="1" applyBorder="1" applyAlignment="1">
      <alignment vertical="center" wrapText="1"/>
    </xf>
    <xf numFmtId="0" fontId="0" fillId="0" borderId="0" xfId="0"/>
    <xf numFmtId="4" fontId="0" fillId="20" borderId="1" xfId="0" applyNumberFormat="1" applyFill="1" applyBorder="1" applyAlignment="1">
      <alignment horizontal="center" vertical="center" wrapText="1"/>
    </xf>
    <xf numFmtId="0" fontId="0" fillId="0" borderId="0" xfId="0"/>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6" fillId="9" borderId="3" xfId="0" applyFont="1" applyFill="1" applyBorder="1" applyAlignment="1">
      <alignment horizontal="center" vertical="center" wrapText="1"/>
    </xf>
    <xf numFmtId="164" fontId="6" fillId="9" borderId="3" xfId="0" applyNumberFormat="1" applyFont="1" applyFill="1" applyBorder="1" applyAlignment="1">
      <alignment horizontal="center" vertical="center"/>
    </xf>
    <xf numFmtId="0" fontId="6" fillId="0" borderId="0" xfId="0" applyFont="1" applyAlignment="1">
      <alignment horizontal="center" vertical="center"/>
    </xf>
    <xf numFmtId="166" fontId="6" fillId="9" borderId="1" xfId="0" applyNumberFormat="1" applyFont="1" applyFill="1" applyBorder="1" applyAlignment="1">
      <alignment horizontal="center" vertical="center" wrapText="1"/>
    </xf>
    <xf numFmtId="0" fontId="0" fillId="0" borderId="1" xfId="0" applyBorder="1" applyAlignment="1">
      <alignment horizontal="left" vertical="center"/>
    </xf>
    <xf numFmtId="3" fontId="0" fillId="8" borderId="1" xfId="0" applyNumberFormat="1" applyFill="1" applyBorder="1" applyAlignment="1">
      <alignment horizontal="center" vertical="center" wrapText="1"/>
    </xf>
    <xf numFmtId="3" fontId="0" fillId="8" borderId="3" xfId="0" applyNumberFormat="1" applyFill="1" applyBorder="1" applyAlignment="1">
      <alignment horizontal="center" vertical="center" wrapText="1"/>
    </xf>
    <xf numFmtId="166" fontId="0" fillId="9" borderId="4" xfId="0" applyNumberFormat="1" applyFill="1" applyBorder="1" applyAlignment="1">
      <alignment horizontal="center" vertical="center" wrapText="1"/>
    </xf>
    <xf numFmtId="166" fontId="0" fillId="9" borderId="1" xfId="0" quotePrefix="1" applyNumberFormat="1" applyFill="1" applyBorder="1" applyAlignment="1">
      <alignment horizontal="center" vertical="center" wrapText="1"/>
    </xf>
    <xf numFmtId="0" fontId="11" fillId="0" borderId="0" xfId="1" applyFont="1" applyAlignment="1">
      <alignment vertical="center"/>
    </xf>
    <xf numFmtId="0" fontId="1" fillId="0" borderId="0" xfId="1"/>
    <xf numFmtId="0" fontId="12" fillId="0" borderId="0" xfId="1" applyFont="1"/>
    <xf numFmtId="0" fontId="11" fillId="0" borderId="0" xfId="0" applyFont="1" applyAlignment="1">
      <alignment vertical="center"/>
    </xf>
    <xf numFmtId="0" fontId="0" fillId="0" borderId="1" xfId="0" applyBorder="1" applyAlignment="1">
      <alignment horizontal="left" wrapText="1"/>
    </xf>
    <xf numFmtId="0" fontId="0" fillId="0" borderId="0" xfId="0" applyAlignment="1">
      <alignment horizontal="left" vertical="top" wrapText="1"/>
    </xf>
    <xf numFmtId="4" fontId="0" fillId="13" borderId="24" xfId="0" applyNumberFormat="1" applyFill="1" applyBorder="1" applyAlignment="1">
      <alignment horizontal="center" vertical="center" wrapText="1"/>
    </xf>
    <xf numFmtId="4" fontId="0" fillId="13" borderId="23" xfId="0" applyNumberFormat="1" applyFill="1" applyBorder="1" applyAlignment="1">
      <alignment horizontal="center" vertical="center" wrapText="1"/>
    </xf>
    <xf numFmtId="4" fontId="0" fillId="13" borderId="25" xfId="0" applyNumberFormat="1" applyFill="1" applyBorder="1" applyAlignment="1">
      <alignment horizontal="center" vertical="center" wrapText="1"/>
    </xf>
    <xf numFmtId="4" fontId="0" fillId="15" borderId="24" xfId="0" applyNumberFormat="1" applyFill="1" applyBorder="1" applyAlignment="1">
      <alignment horizontal="center" vertical="center" wrapText="1"/>
    </xf>
    <xf numFmtId="4" fontId="0" fillId="15" borderId="23" xfId="0" applyNumberFormat="1" applyFill="1" applyBorder="1" applyAlignment="1">
      <alignment horizontal="center" vertical="center" wrapText="1"/>
    </xf>
    <xf numFmtId="4" fontId="0" fillId="15" borderId="25" xfId="0" applyNumberFormat="1" applyFill="1" applyBorder="1" applyAlignment="1">
      <alignment horizontal="center" vertical="center" wrapText="1"/>
    </xf>
    <xf numFmtId="4" fontId="0" fillId="12" borderId="10" xfId="0" applyNumberFormat="1" applyFill="1" applyBorder="1" applyAlignment="1">
      <alignment horizontal="center" vertical="center" wrapText="1"/>
    </xf>
    <xf numFmtId="4" fontId="0" fillId="12" borderId="16" xfId="0" applyNumberFormat="1" applyFill="1" applyBorder="1" applyAlignment="1">
      <alignment horizontal="center" vertical="center" wrapText="1"/>
    </xf>
    <xf numFmtId="4" fontId="0" fillId="12" borderId="11" xfId="0" applyNumberFormat="1" applyFill="1" applyBorder="1" applyAlignment="1">
      <alignment horizontal="center" vertical="center" wrapText="1"/>
    </xf>
    <xf numFmtId="4" fontId="0" fillId="12" borderId="12" xfId="0" applyNumberFormat="1" applyFill="1" applyBorder="1" applyAlignment="1">
      <alignment horizontal="center" vertical="center" wrapText="1"/>
    </xf>
    <xf numFmtId="4" fontId="0" fillId="12" borderId="0" xfId="0" applyNumberFormat="1" applyFill="1" applyAlignment="1">
      <alignment horizontal="center" vertical="center" wrapText="1"/>
    </xf>
    <xf numFmtId="4" fontId="0" fillId="12" borderId="13" xfId="0" applyNumberFormat="1" applyFill="1" applyBorder="1" applyAlignment="1">
      <alignment horizontal="center" vertical="center" wrapText="1"/>
    </xf>
    <xf numFmtId="4" fontId="0" fillId="12" borderId="17" xfId="0" applyNumberFormat="1" applyFill="1" applyBorder="1" applyAlignment="1">
      <alignment horizontal="center" vertical="center" wrapText="1"/>
    </xf>
    <xf numFmtId="4" fontId="0" fillId="12" borderId="18" xfId="0" applyNumberFormat="1" applyFill="1" applyBorder="1" applyAlignment="1">
      <alignment horizontal="center" vertical="center" wrapText="1"/>
    </xf>
    <xf numFmtId="4" fontId="0" fillId="12" borderId="19" xfId="0" applyNumberFormat="1" applyFill="1" applyBorder="1" applyAlignment="1">
      <alignment horizontal="center" vertical="center" wrapText="1"/>
    </xf>
    <xf numFmtId="4" fontId="0" fillId="14" borderId="10" xfId="0" applyNumberFormat="1" applyFill="1" applyBorder="1" applyAlignment="1">
      <alignment horizontal="center" vertical="center" wrapText="1"/>
    </xf>
    <xf numFmtId="4" fontId="0" fillId="14" borderId="16" xfId="0" applyNumberFormat="1" applyFill="1" applyBorder="1" applyAlignment="1">
      <alignment horizontal="center" vertical="center" wrapText="1"/>
    </xf>
    <xf numFmtId="4" fontId="0" fillId="14" borderId="11" xfId="0" applyNumberFormat="1" applyFill="1" applyBorder="1" applyAlignment="1">
      <alignment horizontal="center" vertical="center" wrapText="1"/>
    </xf>
    <xf numFmtId="4" fontId="0" fillId="14" borderId="12" xfId="0" applyNumberFormat="1" applyFill="1" applyBorder="1" applyAlignment="1">
      <alignment horizontal="center" vertical="center" wrapText="1"/>
    </xf>
    <xf numFmtId="4" fontId="0" fillId="14" borderId="0" xfId="0" applyNumberFormat="1" applyFill="1" applyAlignment="1">
      <alignment horizontal="center" vertical="center" wrapText="1"/>
    </xf>
    <xf numFmtId="4" fontId="0" fillId="14" borderId="13" xfId="0" applyNumberFormat="1" applyFill="1" applyBorder="1" applyAlignment="1">
      <alignment horizontal="center" vertical="center" wrapText="1"/>
    </xf>
    <xf numFmtId="4" fontId="0" fillId="14" borderId="17" xfId="0" applyNumberFormat="1" applyFill="1" applyBorder="1" applyAlignment="1">
      <alignment horizontal="center" vertical="center" wrapText="1"/>
    </xf>
    <xf numFmtId="4" fontId="0" fillId="14" borderId="18" xfId="0" applyNumberFormat="1" applyFill="1" applyBorder="1" applyAlignment="1">
      <alignment horizontal="center" vertical="center" wrapText="1"/>
    </xf>
    <xf numFmtId="4" fontId="0" fillId="14" borderId="19" xfId="0" applyNumberFormat="1" applyFill="1" applyBorder="1" applyAlignment="1">
      <alignment horizontal="center" vertical="center" wrapText="1"/>
    </xf>
    <xf numFmtId="4" fontId="0" fillId="16" borderId="10" xfId="0" applyNumberFormat="1" applyFill="1" applyBorder="1" applyAlignment="1">
      <alignment horizontal="center" vertical="center" wrapText="1"/>
    </xf>
    <xf numFmtId="4" fontId="0" fillId="16" borderId="16" xfId="0" applyNumberFormat="1" applyFill="1" applyBorder="1" applyAlignment="1">
      <alignment horizontal="center" vertical="center" wrapText="1"/>
    </xf>
    <xf numFmtId="4" fontId="0" fillId="16" borderId="11" xfId="0" applyNumberFormat="1" applyFill="1" applyBorder="1" applyAlignment="1">
      <alignment horizontal="center" vertical="center" wrapText="1"/>
    </xf>
    <xf numFmtId="4" fontId="0" fillId="16" borderId="12" xfId="0" applyNumberFormat="1" applyFill="1" applyBorder="1" applyAlignment="1">
      <alignment horizontal="center" vertical="center" wrapText="1"/>
    </xf>
    <xf numFmtId="4" fontId="0" fillId="16" borderId="0" xfId="0" applyNumberFormat="1" applyFill="1" applyAlignment="1">
      <alignment horizontal="center" vertical="center" wrapText="1"/>
    </xf>
    <xf numFmtId="4" fontId="0" fillId="16" borderId="13" xfId="0" applyNumberFormat="1" applyFill="1" applyBorder="1" applyAlignment="1">
      <alignment horizontal="center" vertical="center" wrapText="1"/>
    </xf>
    <xf numFmtId="4" fontId="0" fillId="16" borderId="17" xfId="0" applyNumberFormat="1" applyFill="1" applyBorder="1" applyAlignment="1">
      <alignment horizontal="center" vertical="center" wrapText="1"/>
    </xf>
    <xf numFmtId="4" fontId="0" fillId="16" borderId="18" xfId="0" applyNumberFormat="1" applyFill="1" applyBorder="1" applyAlignment="1">
      <alignment horizontal="center" vertical="center" wrapText="1"/>
    </xf>
    <xf numFmtId="4" fontId="0" fillId="16" borderId="19" xfId="0" applyNumberFormat="1" applyFill="1" applyBorder="1" applyAlignment="1">
      <alignment horizontal="center" vertical="center" wrapText="1"/>
    </xf>
    <xf numFmtId="4" fontId="0" fillId="11" borderId="24" xfId="0" applyNumberFormat="1" applyFill="1" applyBorder="1" applyAlignment="1">
      <alignment horizontal="center" vertical="center" wrapText="1"/>
    </xf>
    <xf numFmtId="4" fontId="0" fillId="11" borderId="25" xfId="0" applyNumberFormat="1" applyFill="1" applyBorder="1" applyAlignment="1">
      <alignment horizontal="center" vertical="center" wrapText="1"/>
    </xf>
    <xf numFmtId="4" fontId="0" fillId="3" borderId="24" xfId="0" applyNumberFormat="1" applyFill="1" applyBorder="1" applyAlignment="1">
      <alignment horizontal="center" vertical="center" wrapText="1"/>
    </xf>
    <xf numFmtId="4" fontId="0" fillId="3" borderId="25" xfId="0" applyNumberFormat="1" applyFill="1" applyBorder="1" applyAlignment="1">
      <alignment horizontal="center" vertical="center" wrapText="1"/>
    </xf>
    <xf numFmtId="4" fontId="0" fillId="8" borderId="1" xfId="0" applyNumberFormat="1" applyFill="1" applyBorder="1" applyAlignment="1">
      <alignment horizontal="center" vertical="center" wrapText="1"/>
    </xf>
    <xf numFmtId="4" fontId="0" fillId="8" borderId="24" xfId="0" applyNumberFormat="1" applyFill="1" applyBorder="1" applyAlignment="1">
      <alignment horizontal="center" vertical="center" wrapText="1"/>
    </xf>
    <xf numFmtId="4" fontId="0" fillId="8" borderId="25" xfId="0" applyNumberFormat="1" applyFill="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0" fillId="0" borderId="21"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17" borderId="21" xfId="0" applyNumberFormat="1" applyFill="1" applyBorder="1" applyAlignment="1">
      <alignment horizontal="center" vertical="center" wrapText="1"/>
    </xf>
    <xf numFmtId="49" fontId="0" fillId="17" borderId="9" xfId="0" applyNumberFormat="1" applyFill="1" applyBorder="1" applyAlignment="1">
      <alignment horizontal="center" vertical="center" wrapText="1"/>
    </xf>
    <xf numFmtId="49" fontId="6" fillId="17" borderId="21" xfId="0" applyNumberFormat="1" applyFont="1" applyFill="1" applyBorder="1" applyAlignment="1">
      <alignment horizontal="center" vertical="center" wrapText="1"/>
    </xf>
    <xf numFmtId="49" fontId="6" fillId="17" borderId="9" xfId="0" applyNumberFormat="1" applyFont="1" applyFill="1" applyBorder="1" applyAlignment="1">
      <alignment horizontal="center" vertical="center" wrapText="1"/>
    </xf>
    <xf numFmtId="49" fontId="4" fillId="17" borderId="21" xfId="0" applyNumberFormat="1" applyFont="1" applyFill="1" applyBorder="1" applyAlignment="1">
      <alignment horizontal="center" vertical="center" wrapText="1"/>
    </xf>
    <xf numFmtId="49" fontId="4" fillId="17" borderId="9" xfId="0" applyNumberFormat="1" applyFont="1" applyFill="1" applyBorder="1" applyAlignment="1">
      <alignment horizontal="center" vertical="center" wrapText="1"/>
    </xf>
    <xf numFmtId="49" fontId="6" fillId="17" borderId="21" xfId="0" quotePrefix="1" applyNumberFormat="1" applyFont="1" applyFill="1" applyBorder="1" applyAlignment="1">
      <alignment horizontal="center" vertical="center" wrapText="1"/>
    </xf>
    <xf numFmtId="49" fontId="6" fillId="0" borderId="8" xfId="0" applyNumberFormat="1" applyFont="1" applyBorder="1" applyAlignment="1">
      <alignment horizontal="center" vertical="center" wrapText="1"/>
    </xf>
    <xf numFmtId="4" fontId="0" fillId="8" borderId="23" xfId="0" applyNumberFormat="1" applyFill="1" applyBorder="1" applyAlignment="1">
      <alignment horizontal="center" vertical="center" wrapText="1"/>
    </xf>
    <xf numFmtId="4" fontId="0" fillId="12" borderId="24" xfId="0" applyNumberFormat="1" applyFill="1" applyBorder="1" applyAlignment="1">
      <alignment horizontal="center" vertical="center" wrapText="1"/>
    </xf>
    <xf numFmtId="4" fontId="0" fillId="12" borderId="23" xfId="0" applyNumberFormat="1" applyFill="1" applyBorder="1" applyAlignment="1">
      <alignment horizontal="center" vertical="center" wrapText="1"/>
    </xf>
    <xf numFmtId="4" fontId="0" fillId="12" borderId="25" xfId="0" applyNumberFormat="1" applyFill="1" applyBorder="1" applyAlignment="1">
      <alignment horizontal="center" vertical="center" wrapText="1"/>
    </xf>
    <xf numFmtId="4" fontId="0" fillId="14" borderId="24" xfId="0" applyNumberFormat="1" applyFill="1" applyBorder="1" applyAlignment="1">
      <alignment horizontal="center" vertical="center" wrapText="1"/>
    </xf>
    <xf numFmtId="4" fontId="0" fillId="14" borderId="23" xfId="0" applyNumberFormat="1" applyFill="1" applyBorder="1" applyAlignment="1">
      <alignment horizontal="center" vertical="center" wrapText="1"/>
    </xf>
    <xf numFmtId="4" fontId="0" fillId="14" borderId="25" xfId="0" applyNumberFormat="1" applyFill="1" applyBorder="1" applyAlignment="1">
      <alignment horizontal="center" vertical="center" wrapText="1"/>
    </xf>
    <xf numFmtId="4" fontId="0" fillId="16" borderId="21" xfId="0" applyNumberFormat="1" applyFill="1" applyBorder="1" applyAlignment="1">
      <alignment horizontal="center" vertical="center" wrapText="1"/>
    </xf>
    <xf numFmtId="4" fontId="0" fillId="16" borderId="9" xfId="0" applyNumberFormat="1" applyFill="1" applyBorder="1" applyAlignment="1">
      <alignment horizontal="center" vertical="center" wrapText="1"/>
    </xf>
    <xf numFmtId="4" fontId="0" fillId="16" borderId="51" xfId="0" applyNumberFormat="1" applyFill="1" applyBorder="1" applyAlignment="1">
      <alignment horizontal="center" vertical="center" wrapText="1"/>
    </xf>
    <xf numFmtId="4" fontId="0" fillId="16" borderId="52" xfId="0" applyNumberFormat="1" applyFill="1" applyBorder="1" applyAlignment="1">
      <alignment horizontal="center" vertical="center" wrapText="1"/>
    </xf>
    <xf numFmtId="4" fontId="0" fillId="16" borderId="24" xfId="0" applyNumberFormat="1" applyFill="1" applyBorder="1" applyAlignment="1">
      <alignment horizontal="center" vertical="center" wrapText="1"/>
    </xf>
    <xf numFmtId="4" fontId="0" fillId="16" borderId="25" xfId="0" applyNumberFormat="1" applyFill="1" applyBorder="1" applyAlignment="1">
      <alignment horizontal="center" vertical="center" wrapText="1"/>
    </xf>
    <xf numFmtId="4" fontId="0" fillId="8" borderId="10" xfId="0" applyNumberFormat="1" applyFill="1" applyBorder="1" applyAlignment="1">
      <alignment horizontal="center" vertical="center" wrapText="1"/>
    </xf>
    <xf numFmtId="4" fontId="0" fillId="8" borderId="16" xfId="0" applyNumberFormat="1" applyFill="1" applyBorder="1" applyAlignment="1">
      <alignment horizontal="center" vertical="center" wrapText="1"/>
    </xf>
    <xf numFmtId="4" fontId="0" fillId="8" borderId="11" xfId="0" applyNumberFormat="1" applyFill="1" applyBorder="1" applyAlignment="1">
      <alignment horizontal="center" vertical="center" wrapText="1"/>
    </xf>
    <xf numFmtId="4" fontId="0" fillId="8" borderId="12" xfId="0" applyNumberFormat="1" applyFill="1" applyBorder="1" applyAlignment="1">
      <alignment horizontal="center" vertical="center" wrapText="1"/>
    </xf>
    <xf numFmtId="4" fontId="0" fillId="8" borderId="0" xfId="0" applyNumberFormat="1" applyFill="1" applyAlignment="1">
      <alignment horizontal="center" vertical="center" wrapText="1"/>
    </xf>
    <xf numFmtId="4" fontId="0" fillId="8" borderId="13" xfId="0" applyNumberFormat="1" applyFill="1" applyBorder="1" applyAlignment="1">
      <alignment horizontal="center" vertical="center" wrapText="1"/>
    </xf>
    <xf numFmtId="4" fontId="0" fillId="8" borderId="17" xfId="0" applyNumberFormat="1" applyFill="1" applyBorder="1" applyAlignment="1">
      <alignment horizontal="center" vertical="center" wrapText="1"/>
    </xf>
    <xf numFmtId="4" fontId="0" fillId="8" borderId="18" xfId="0" applyNumberFormat="1" applyFill="1" applyBorder="1" applyAlignment="1">
      <alignment horizontal="center" vertical="center" wrapText="1"/>
    </xf>
    <xf numFmtId="4" fontId="0" fillId="8" borderId="19" xfId="0" applyNumberFormat="1" applyFill="1" applyBorder="1" applyAlignment="1">
      <alignment horizontal="center" vertical="center" wrapText="1"/>
    </xf>
    <xf numFmtId="4" fontId="0" fillId="16" borderId="23" xfId="0" applyNumberFormat="1" applyFill="1" applyBorder="1" applyAlignment="1">
      <alignment horizontal="center" vertical="center" wrapText="1"/>
    </xf>
    <xf numFmtId="49" fontId="0" fillId="0" borderId="8" xfId="0" applyNumberFormat="1" applyBorder="1" applyAlignment="1">
      <alignment horizontal="center" vertical="center" wrapText="1"/>
    </xf>
    <xf numFmtId="0" fontId="0" fillId="7" borderId="16"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0" xfId="0" applyFill="1" applyAlignment="1">
      <alignment horizontal="center" vertical="center" wrapText="1"/>
    </xf>
    <xf numFmtId="0" fontId="0" fillId="7" borderId="13"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19" xfId="0" applyFill="1" applyBorder="1" applyAlignment="1">
      <alignment horizontal="center" vertical="center" wrapText="1"/>
    </xf>
    <xf numFmtId="166" fontId="0" fillId="9" borderId="22" xfId="0" applyNumberFormat="1" applyFill="1" applyBorder="1" applyAlignment="1">
      <alignment horizontal="center" vertical="center" wrapText="1"/>
    </xf>
    <xf numFmtId="166" fontId="0" fillId="9" borderId="9" xfId="0" applyNumberFormat="1" applyFill="1" applyBorder="1" applyAlignment="1">
      <alignment horizontal="center" vertical="center" wrapText="1"/>
    </xf>
    <xf numFmtId="49" fontId="0" fillId="17" borderId="26" xfId="0" applyNumberFormat="1" applyFill="1" applyBorder="1" applyAlignment="1">
      <alignment horizontal="center" vertical="center" wrapText="1"/>
    </xf>
    <xf numFmtId="49" fontId="0" fillId="17" borderId="27" xfId="0" applyNumberFormat="1" applyFill="1" applyBorder="1" applyAlignment="1">
      <alignment horizontal="center" vertical="center" wrapText="1"/>
    </xf>
    <xf numFmtId="49" fontId="0" fillId="17" borderId="17" xfId="0" applyNumberFormat="1" applyFill="1" applyBorder="1" applyAlignment="1">
      <alignment horizontal="center" vertical="center" wrapText="1"/>
    </xf>
    <xf numFmtId="49" fontId="0" fillId="17" borderId="19" xfId="0" applyNumberFormat="1" applyFill="1" applyBorder="1" applyAlignment="1">
      <alignment horizontal="center" vertical="center" wrapText="1"/>
    </xf>
    <xf numFmtId="1" fontId="0" fillId="17" borderId="21" xfId="0" applyNumberFormat="1" applyFill="1" applyBorder="1" applyAlignment="1">
      <alignment horizontal="center" vertical="center" wrapText="1"/>
    </xf>
    <xf numFmtId="1" fontId="0" fillId="17" borderId="9" xfId="0" applyNumberFormat="1" applyFill="1" applyBorder="1" applyAlignment="1">
      <alignment horizontal="center" vertical="center" wrapText="1"/>
    </xf>
    <xf numFmtId="0" fontId="0" fillId="7" borderId="26" xfId="0" applyFill="1" applyBorder="1" applyAlignment="1">
      <alignment horizontal="center" vertical="center" wrapText="1"/>
    </xf>
    <xf numFmtId="0" fontId="0" fillId="7" borderId="27" xfId="0" applyFill="1" applyBorder="1" applyAlignment="1">
      <alignment horizontal="center" vertical="center" wrapText="1"/>
    </xf>
    <xf numFmtId="166" fontId="0" fillId="9" borderId="21" xfId="0" applyNumberFormat="1" applyFill="1" applyBorder="1" applyAlignment="1">
      <alignment horizontal="center" vertical="center" wrapText="1"/>
    </xf>
    <xf numFmtId="4" fontId="0" fillId="3" borderId="23" xfId="0" applyNumberFormat="1" applyFill="1" applyBorder="1" applyAlignment="1">
      <alignment horizontal="center" vertical="center" wrapText="1"/>
    </xf>
    <xf numFmtId="4" fontId="0" fillId="11" borderId="23" xfId="0" applyNumberFormat="1" applyFill="1" applyBorder="1" applyAlignment="1">
      <alignment horizontal="center" vertical="center" wrapText="1"/>
    </xf>
    <xf numFmtId="4" fontId="0" fillId="9" borderId="21" xfId="0" applyNumberFormat="1" applyFill="1" applyBorder="1" applyAlignment="1">
      <alignment horizontal="center" vertical="center" wrapText="1"/>
    </xf>
    <xf numFmtId="4" fontId="0" fillId="9" borderId="9" xfId="0" applyNumberFormat="1" applyFill="1" applyBorder="1" applyAlignment="1">
      <alignment horizontal="center" vertical="center" wrapText="1"/>
    </xf>
    <xf numFmtId="49" fontId="0" fillId="0" borderId="51" xfId="0" applyNumberFormat="1" applyBorder="1" applyAlignment="1">
      <alignment horizontal="center" vertical="center" wrapText="1"/>
    </xf>
    <xf numFmtId="49" fontId="0" fillId="0" borderId="52" xfId="0" applyNumberFormat="1" applyBorder="1" applyAlignment="1">
      <alignment horizontal="center" vertical="center" wrapText="1"/>
    </xf>
    <xf numFmtId="166" fontId="0" fillId="9" borderId="8" xfId="0" applyNumberFormat="1" applyFill="1" applyBorder="1" applyAlignment="1">
      <alignment horizontal="center" vertical="center" wrapText="1"/>
    </xf>
    <xf numFmtId="49" fontId="0" fillId="17" borderId="12" xfId="0" applyNumberFormat="1" applyFill="1" applyBorder="1" applyAlignment="1">
      <alignment horizontal="center" vertical="center" wrapText="1"/>
    </xf>
    <xf numFmtId="49" fontId="0" fillId="17" borderId="13" xfId="0" applyNumberFormat="1" applyFill="1" applyBorder="1" applyAlignment="1">
      <alignment horizontal="center" vertical="center" wrapText="1"/>
    </xf>
    <xf numFmtId="0" fontId="0" fillId="7" borderId="12" xfId="0" applyFill="1" applyBorder="1" applyAlignment="1">
      <alignment horizontal="center" vertical="center" wrapText="1"/>
    </xf>
    <xf numFmtId="49" fontId="6" fillId="17" borderId="8" xfId="0" applyNumberFormat="1" applyFont="1" applyFill="1" applyBorder="1" applyAlignment="1">
      <alignment horizontal="center" vertical="center" wrapText="1"/>
    </xf>
    <xf numFmtId="49" fontId="0" fillId="17" borderId="8" xfId="0" applyNumberFormat="1" applyFill="1" applyBorder="1" applyAlignment="1">
      <alignment horizontal="center" vertical="center" wrapText="1"/>
    </xf>
    <xf numFmtId="4" fontId="0" fillId="9" borderId="8" xfId="0" applyNumberFormat="1" applyFill="1" applyBorder="1" applyAlignment="1">
      <alignment horizontal="center" vertical="center" wrapText="1"/>
    </xf>
    <xf numFmtId="0" fontId="0" fillId="7" borderId="10" xfId="0" applyFill="1" applyBorder="1" applyAlignment="1">
      <alignment horizontal="center" vertical="center" wrapText="1"/>
    </xf>
    <xf numFmtId="166" fontId="6" fillId="9" borderId="21" xfId="0" applyNumberFormat="1" applyFont="1" applyFill="1" applyBorder="1" applyAlignment="1">
      <alignment horizontal="center" vertical="center" wrapText="1"/>
    </xf>
    <xf numFmtId="166" fontId="6" fillId="9" borderId="9"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6" fillId="0" borderId="21" xfId="0" applyFont="1" applyBorder="1" applyAlignment="1">
      <alignment horizontal="center" vertical="center" wrapText="1"/>
    </xf>
    <xf numFmtId="0" fontId="6" fillId="0" borderId="9" xfId="0" applyFont="1" applyBorder="1" applyAlignment="1">
      <alignment horizontal="center" vertical="center" wrapText="1"/>
    </xf>
    <xf numFmtId="1" fontId="0" fillId="0" borderId="21" xfId="0" applyNumberFormat="1" applyBorder="1" applyAlignment="1">
      <alignment horizontal="center" vertical="center" wrapText="1"/>
    </xf>
    <xf numFmtId="1" fontId="0" fillId="0" borderId="9" xfId="0" applyNumberFormat="1" applyBorder="1" applyAlignment="1">
      <alignment horizontal="center" vertical="center" wrapText="1"/>
    </xf>
    <xf numFmtId="0" fontId="6" fillId="7" borderId="24" xfId="0" applyFont="1" applyFill="1" applyBorder="1" applyAlignment="1">
      <alignment horizontal="center" vertical="center" wrapText="1"/>
    </xf>
    <xf numFmtId="0" fontId="6" fillId="7" borderId="25" xfId="0" applyFont="1" applyFill="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0" fontId="0" fillId="7" borderId="21" xfId="0" applyFill="1" applyBorder="1" applyAlignment="1">
      <alignment horizontal="center" vertical="center" wrapText="1"/>
    </xf>
    <xf numFmtId="0" fontId="0" fillId="7" borderId="9" xfId="0" applyFill="1" applyBorder="1" applyAlignment="1">
      <alignment horizontal="center" vertical="center" wrapText="1"/>
    </xf>
    <xf numFmtId="4" fontId="0" fillId="7" borderId="21" xfId="0" applyNumberFormat="1" applyFill="1" applyBorder="1" applyAlignment="1">
      <alignment horizontal="center" vertical="center" wrapText="1"/>
    </xf>
    <xf numFmtId="4" fontId="0" fillId="7" borderId="9" xfId="0" applyNumberFormat="1" applyFill="1" applyBorder="1" applyAlignment="1">
      <alignment horizontal="center" vertical="center" wrapText="1"/>
    </xf>
    <xf numFmtId="0" fontId="5" fillId="0" borderId="21" xfId="0" applyFont="1" applyBorder="1" applyAlignment="1">
      <alignment horizontal="center" vertical="center" wrapText="1"/>
    </xf>
    <xf numFmtId="0" fontId="5" fillId="0" borderId="9" xfId="0" applyFont="1" applyBorder="1" applyAlignment="1">
      <alignment horizontal="center" vertical="center" wrapText="1"/>
    </xf>
    <xf numFmtId="0" fontId="0" fillId="17" borderId="21" xfId="0" applyFill="1" applyBorder="1" applyAlignment="1">
      <alignment horizontal="center" vertical="center" wrapText="1"/>
    </xf>
    <xf numFmtId="0" fontId="0" fillId="17" borderId="9" xfId="0" applyFill="1" applyBorder="1" applyAlignment="1">
      <alignment horizontal="center" vertical="center" wrapText="1"/>
    </xf>
    <xf numFmtId="0" fontId="0" fillId="17" borderId="21" xfId="0" applyNumberFormat="1" applyFill="1" applyBorder="1" applyAlignment="1">
      <alignment horizontal="center" vertical="center" wrapText="1"/>
    </xf>
    <xf numFmtId="49" fontId="6" fillId="18" borderId="8" xfId="0" applyNumberFormat="1" applyFont="1" applyFill="1" applyBorder="1" applyAlignment="1">
      <alignment horizontal="center" vertical="center" wrapText="1"/>
    </xf>
    <xf numFmtId="49" fontId="6" fillId="18" borderId="9" xfId="0" applyNumberFormat="1" applyFont="1" applyFill="1" applyBorder="1" applyAlignment="1">
      <alignment horizontal="center" vertical="center" wrapText="1"/>
    </xf>
    <xf numFmtId="0" fontId="0" fillId="8" borderId="10"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0" xfId="0" applyFill="1" applyAlignment="1">
      <alignment horizontal="center" vertical="center" wrapText="1"/>
    </xf>
    <xf numFmtId="0" fontId="0" fillId="8" borderId="13"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19" xfId="0" applyFill="1" applyBorder="1" applyAlignment="1">
      <alignment horizontal="center" vertical="center" wrapText="1"/>
    </xf>
    <xf numFmtId="1" fontId="0" fillId="17" borderId="27" xfId="0" applyNumberFormat="1" applyFill="1" applyBorder="1" applyAlignment="1">
      <alignment horizontal="center" vertical="center" wrapText="1"/>
    </xf>
    <xf numFmtId="1" fontId="0" fillId="17" borderId="19" xfId="0" applyNumberFormat="1" applyFill="1" applyBorder="1" applyAlignment="1">
      <alignment horizontal="center" vertical="center" wrapText="1"/>
    </xf>
    <xf numFmtId="0" fontId="0" fillId="0" borderId="8" xfId="0" applyBorder="1" applyAlignment="1">
      <alignment horizontal="center" vertical="center" wrapText="1"/>
    </xf>
    <xf numFmtId="49" fontId="0" fillId="17" borderId="21" xfId="0" quotePrefix="1" applyNumberFormat="1" applyFill="1" applyBorder="1" applyAlignment="1">
      <alignment horizontal="center" vertical="center" wrapText="1"/>
    </xf>
    <xf numFmtId="49" fontId="0" fillId="0" borderId="26" xfId="0" applyNumberFormat="1" applyBorder="1" applyAlignment="1">
      <alignment horizontal="center" vertical="center" wrapText="1"/>
    </xf>
    <xf numFmtId="49" fontId="0" fillId="0" borderId="27"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13"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17" borderId="26" xfId="0" quotePrefix="1" applyNumberFormat="1" applyFill="1" applyBorder="1" applyAlignment="1">
      <alignment horizontal="center" vertical="center" wrapText="1"/>
    </xf>
    <xf numFmtId="1" fontId="0" fillId="17" borderId="7" xfId="0" applyNumberFormat="1" applyFill="1" applyBorder="1" applyAlignment="1">
      <alignment horizontal="center" vertical="center" wrapText="1"/>
    </xf>
    <xf numFmtId="1" fontId="0" fillId="17" borderId="3" xfId="0" applyNumberForma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0" fillId="0" borderId="21" xfId="0" applyNumberForma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49" fontId="0" fillId="0" borderId="26" xfId="0" quotePrefix="1" applyNumberFormat="1" applyBorder="1" applyAlignment="1">
      <alignment horizontal="center" vertical="center" wrapText="1"/>
    </xf>
    <xf numFmtId="0" fontId="0" fillId="0" borderId="8" xfId="0" applyNumberFormat="1" applyBorder="1" applyAlignment="1">
      <alignment horizontal="center" vertical="center" wrapText="1"/>
    </xf>
    <xf numFmtId="49" fontId="0" fillId="0" borderId="27" xfId="0" quotePrefix="1" applyNumberFormat="1" applyBorder="1" applyAlignment="1">
      <alignment horizontal="center" vertical="center" wrapText="1"/>
    </xf>
    <xf numFmtId="49" fontId="0" fillId="0" borderId="17" xfId="0" quotePrefix="1" applyNumberFormat="1" applyBorder="1" applyAlignment="1">
      <alignment horizontal="center" vertical="center" wrapText="1"/>
    </xf>
    <xf numFmtId="49" fontId="0" fillId="0" borderId="19" xfId="0" quotePrefix="1" applyNumberFormat="1" applyBorder="1" applyAlignment="1">
      <alignment horizontal="center" vertical="center" wrapText="1"/>
    </xf>
    <xf numFmtId="49" fontId="0" fillId="17" borderId="27" xfId="0" quotePrefix="1" applyNumberFormat="1" applyFill="1" applyBorder="1" applyAlignment="1">
      <alignment horizontal="center" vertical="center" wrapText="1"/>
    </xf>
    <xf numFmtId="49" fontId="0" fillId="17" borderId="17" xfId="0" quotePrefix="1" applyNumberFormat="1" applyFill="1" applyBorder="1" applyAlignment="1">
      <alignment horizontal="center" vertical="center" wrapText="1"/>
    </xf>
    <xf numFmtId="49" fontId="0" fillId="17" borderId="19" xfId="0" quotePrefix="1" applyNumberFormat="1" applyFill="1" applyBorder="1" applyAlignment="1">
      <alignment horizontal="center" vertical="center" wrapText="1"/>
    </xf>
    <xf numFmtId="0" fontId="0" fillId="17" borderId="8" xfId="0" applyNumberFormat="1" applyFill="1" applyBorder="1" applyAlignment="1">
      <alignment horizontal="center" vertical="center" wrapText="1"/>
    </xf>
    <xf numFmtId="166" fontId="0" fillId="9" borderId="4" xfId="0" applyNumberFormat="1" applyFill="1" applyBorder="1" applyAlignment="1">
      <alignment horizontal="center" vertical="center" wrapText="1"/>
    </xf>
    <xf numFmtId="0" fontId="5" fillId="0" borderId="26" xfId="0" quotePrefix="1" applyFont="1" applyBorder="1" applyAlignment="1">
      <alignment horizontal="center" vertical="center" wrapText="1"/>
    </xf>
    <xf numFmtId="0" fontId="5" fillId="0" borderId="27" xfId="0" quotePrefix="1" applyFont="1" applyBorder="1" applyAlignment="1">
      <alignment horizontal="center" vertical="center" wrapText="1"/>
    </xf>
    <xf numFmtId="0" fontId="5" fillId="0" borderId="17" xfId="0" quotePrefix="1" applyFont="1" applyBorder="1" applyAlignment="1">
      <alignment horizontal="center" vertical="center" wrapText="1"/>
    </xf>
    <xf numFmtId="0" fontId="5" fillId="0" borderId="19" xfId="0" quotePrefix="1" applyFont="1" applyBorder="1" applyAlignment="1">
      <alignment horizontal="center" vertical="center" wrapText="1"/>
    </xf>
    <xf numFmtId="0" fontId="6" fillId="19" borderId="24" xfId="0" applyFont="1" applyFill="1" applyBorder="1" applyAlignment="1">
      <alignment horizontal="center" vertical="center" wrapText="1"/>
    </xf>
    <xf numFmtId="0" fontId="6" fillId="19" borderId="25"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4" fontId="0" fillId="8" borderId="10" xfId="0" applyNumberFormat="1" applyFill="1" applyBorder="1" applyAlignment="1">
      <alignment horizontal="center" vertical="center"/>
    </xf>
    <xf numFmtId="4" fontId="0" fillId="8" borderId="11" xfId="0" applyNumberFormat="1" applyFill="1" applyBorder="1" applyAlignment="1">
      <alignment horizontal="center" vertical="center"/>
    </xf>
    <xf numFmtId="4" fontId="0" fillId="8" borderId="12" xfId="0" applyNumberFormat="1" applyFill="1" applyBorder="1" applyAlignment="1">
      <alignment horizontal="center" vertical="center"/>
    </xf>
    <xf numFmtId="4" fontId="0" fillId="8" borderId="13" xfId="0" applyNumberFormat="1" applyFill="1" applyBorder="1" applyAlignment="1">
      <alignment horizontal="center" vertical="center"/>
    </xf>
    <xf numFmtId="4" fontId="0" fillId="8" borderId="14" xfId="0" applyNumberFormat="1" applyFill="1" applyBorder="1" applyAlignment="1">
      <alignment horizontal="center" vertical="center"/>
    </xf>
    <xf numFmtId="4" fontId="0" fillId="8" borderId="15" xfId="0" applyNumberFormat="1" applyFill="1" applyBorder="1" applyAlignment="1">
      <alignment horizontal="center" vertical="center"/>
    </xf>
    <xf numFmtId="4" fontId="0" fillId="12" borderId="10" xfId="0" applyNumberFormat="1" applyFill="1" applyBorder="1" applyAlignment="1">
      <alignment horizontal="center" vertical="center"/>
    </xf>
    <xf numFmtId="4" fontId="0" fillId="12" borderId="16" xfId="0" applyNumberFormat="1" applyFill="1" applyBorder="1" applyAlignment="1">
      <alignment horizontal="center" vertical="center"/>
    </xf>
    <xf numFmtId="4" fontId="0" fillId="12" borderId="11" xfId="0" applyNumberFormat="1" applyFill="1" applyBorder="1" applyAlignment="1">
      <alignment horizontal="center" vertical="center"/>
    </xf>
    <xf numFmtId="4" fontId="0" fillId="12" borderId="12" xfId="0" applyNumberFormat="1" applyFill="1" applyBorder="1" applyAlignment="1">
      <alignment horizontal="center" vertical="center"/>
    </xf>
    <xf numFmtId="4" fontId="0" fillId="12" borderId="0" xfId="0" applyNumberFormat="1" applyFill="1" applyAlignment="1">
      <alignment horizontal="center" vertical="center"/>
    </xf>
    <xf numFmtId="4" fontId="0" fillId="12" borderId="13" xfId="0" applyNumberFormat="1" applyFill="1" applyBorder="1" applyAlignment="1">
      <alignment horizontal="center" vertical="center"/>
    </xf>
    <xf numFmtId="0" fontId="0" fillId="10" borderId="7" xfId="0" applyFill="1" applyBorder="1" applyAlignment="1">
      <alignment horizontal="center" vertical="center"/>
    </xf>
    <xf numFmtId="0" fontId="0" fillId="10" borderId="1" xfId="0" applyFill="1" applyBorder="1" applyAlignment="1">
      <alignment horizontal="center" vertical="center"/>
    </xf>
    <xf numFmtId="0" fontId="0" fillId="10" borderId="3" xfId="0" applyFill="1" applyBorder="1" applyAlignment="1">
      <alignment horizontal="center" vertical="center"/>
    </xf>
    <xf numFmtId="4" fontId="0" fillId="12" borderId="17" xfId="0" applyNumberFormat="1" applyFill="1" applyBorder="1" applyAlignment="1">
      <alignment horizontal="center" vertical="center"/>
    </xf>
    <xf numFmtId="4" fontId="0" fillId="12" borderId="18" xfId="0" applyNumberFormat="1" applyFill="1" applyBorder="1" applyAlignment="1">
      <alignment horizontal="center" vertical="center"/>
    </xf>
    <xf numFmtId="4" fontId="0" fillId="12" borderId="19" xfId="0" applyNumberFormat="1"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0" fillId="7" borderId="7" xfId="0" applyFill="1" applyBorder="1" applyAlignment="1">
      <alignment horizontal="center" vertical="center"/>
    </xf>
    <xf numFmtId="49" fontId="0" fillId="7" borderId="4" xfId="0" applyNumberFormat="1" applyFill="1" applyBorder="1" applyAlignment="1">
      <alignment horizontal="center" vertical="center"/>
    </xf>
    <xf numFmtId="49" fontId="0" fillId="7" borderId="1" xfId="0" applyNumberFormat="1" applyFill="1" applyBorder="1" applyAlignment="1">
      <alignment horizontal="center" vertical="center"/>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xf>
    <xf numFmtId="49" fontId="0" fillId="7" borderId="7" xfId="0" applyNumberFormat="1" applyFill="1" applyBorder="1" applyAlignment="1">
      <alignment horizontal="center" vertical="center"/>
    </xf>
    <xf numFmtId="49" fontId="0" fillId="7" borderId="7" xfId="0" applyNumberFormat="1" applyFill="1" applyBorder="1" applyAlignment="1">
      <alignment horizontal="center" vertical="center" wrapText="1"/>
    </xf>
    <xf numFmtId="49" fontId="0" fillId="7" borderId="1" xfId="0" applyNumberFormat="1" applyFill="1" applyBorder="1" applyAlignment="1">
      <alignment horizontal="center" vertical="center" wrapText="1"/>
    </xf>
    <xf numFmtId="49" fontId="0" fillId="7" borderId="4" xfId="0" applyNumberFormat="1" applyFill="1" applyBorder="1" applyAlignment="1">
      <alignment horizontal="center" vertical="center" wrapText="1"/>
    </xf>
    <xf numFmtId="49" fontId="0" fillId="10" borderId="7" xfId="0" applyNumberFormat="1" applyFill="1" applyBorder="1" applyAlignment="1">
      <alignment horizontal="center" vertical="center"/>
    </xf>
    <xf numFmtId="49" fontId="0" fillId="10" borderId="1" xfId="0" applyNumberFormat="1" applyFill="1" applyBorder="1" applyAlignment="1">
      <alignment horizontal="center" vertical="center"/>
    </xf>
    <xf numFmtId="49" fontId="0" fillId="10" borderId="3" xfId="0" applyNumberFormat="1" applyFill="1" applyBorder="1" applyAlignment="1">
      <alignment horizontal="center" vertical="center"/>
    </xf>
    <xf numFmtId="49" fontId="0" fillId="10" borderId="7" xfId="0" applyNumberFormat="1" applyFill="1" applyBorder="1" applyAlignment="1">
      <alignment horizontal="center" vertical="center" wrapText="1"/>
    </xf>
    <xf numFmtId="49" fontId="0" fillId="10" borderId="1" xfId="0" applyNumberFormat="1" applyFill="1" applyBorder="1" applyAlignment="1">
      <alignment horizontal="center" vertical="center" wrapText="1"/>
    </xf>
    <xf numFmtId="49" fontId="0" fillId="10" borderId="3" xfId="0" applyNumberFormat="1" applyFill="1" applyBorder="1" applyAlignment="1">
      <alignment horizontal="center" vertical="center" wrapText="1"/>
    </xf>
    <xf numFmtId="0" fontId="0" fillId="10" borderId="4" xfId="0" applyFill="1" applyBorder="1" applyAlignment="1">
      <alignment horizontal="center" vertical="center" wrapText="1"/>
    </xf>
    <xf numFmtId="0" fontId="0" fillId="10" borderId="21" xfId="0" applyFill="1" applyBorder="1" applyAlignment="1">
      <alignment horizontal="center" vertical="center"/>
    </xf>
    <xf numFmtId="0" fontId="0" fillId="10" borderId="8" xfId="0" applyFill="1" applyBorder="1" applyAlignment="1">
      <alignment horizontal="center" vertical="center"/>
    </xf>
    <xf numFmtId="0" fontId="0" fillId="10" borderId="9" xfId="0" applyFill="1" applyBorder="1" applyAlignment="1">
      <alignment horizontal="center" vertical="center"/>
    </xf>
    <xf numFmtId="49" fontId="0" fillId="7" borderId="3" xfId="0" applyNumberFormat="1" applyFill="1" applyBorder="1" applyAlignment="1">
      <alignment horizontal="center" vertical="center"/>
    </xf>
    <xf numFmtId="49" fontId="0" fillId="7" borderId="3" xfId="0" applyNumberFormat="1" applyFill="1" applyBorder="1" applyAlignment="1">
      <alignment horizontal="center" vertical="center" wrapText="1"/>
    </xf>
    <xf numFmtId="49" fontId="0" fillId="10" borderId="21" xfId="0" applyNumberFormat="1" applyFill="1" applyBorder="1" applyAlignment="1">
      <alignment horizontal="center" vertical="center"/>
    </xf>
    <xf numFmtId="49" fontId="0" fillId="10" borderId="8" xfId="0" applyNumberFormat="1" applyFill="1" applyBorder="1" applyAlignment="1">
      <alignment horizontal="center" vertical="center"/>
    </xf>
    <xf numFmtId="49" fontId="0" fillId="10" borderId="9" xfId="0" applyNumberFormat="1" applyFill="1" applyBorder="1" applyAlignment="1">
      <alignment horizontal="center" vertical="center"/>
    </xf>
    <xf numFmtId="49" fontId="0" fillId="10" borderId="21" xfId="0" applyNumberFormat="1" applyFill="1" applyBorder="1" applyAlignment="1">
      <alignment horizontal="center" vertical="center" wrapText="1"/>
    </xf>
    <xf numFmtId="49" fontId="0" fillId="10" borderId="8" xfId="0" applyNumberFormat="1" applyFill="1" applyBorder="1" applyAlignment="1">
      <alignment horizontal="center" vertical="center" wrapText="1"/>
    </xf>
    <xf numFmtId="49" fontId="0" fillId="10" borderId="9" xfId="0" applyNumberFormat="1" applyFill="1" applyBorder="1" applyAlignment="1">
      <alignment horizontal="center" vertical="center" wrapText="1"/>
    </xf>
    <xf numFmtId="0" fontId="0" fillId="10" borderId="21"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9" xfId="0" applyFill="1" applyBorder="1" applyAlignment="1">
      <alignment horizontal="center" vertical="center" wrapText="1"/>
    </xf>
    <xf numFmtId="49" fontId="0" fillId="10" borderId="4" xfId="0" applyNumberFormat="1" applyFill="1" applyBorder="1" applyAlignment="1">
      <alignment horizontal="center" vertical="center"/>
    </xf>
    <xf numFmtId="49" fontId="0" fillId="10" borderId="4" xfId="0" applyNumberFormat="1" applyFill="1" applyBorder="1" applyAlignment="1">
      <alignment horizontal="center" vertical="center" wrapText="1"/>
    </xf>
    <xf numFmtId="4" fontId="0" fillId="14" borderId="10" xfId="0" applyNumberFormat="1" applyFill="1" applyBorder="1" applyAlignment="1">
      <alignment horizontal="center" vertical="center"/>
    </xf>
    <xf numFmtId="4" fontId="0" fillId="14" borderId="16" xfId="0" applyNumberFormat="1" applyFill="1" applyBorder="1" applyAlignment="1">
      <alignment horizontal="center" vertical="center"/>
    </xf>
    <xf numFmtId="4" fontId="0" fillId="14" borderId="11" xfId="0" applyNumberFormat="1" applyFill="1" applyBorder="1" applyAlignment="1">
      <alignment horizontal="center" vertical="center"/>
    </xf>
    <xf numFmtId="4" fontId="0" fillId="14" borderId="12" xfId="0" applyNumberFormat="1" applyFill="1" applyBorder="1" applyAlignment="1">
      <alignment horizontal="center" vertical="center"/>
    </xf>
    <xf numFmtId="4" fontId="0" fillId="14" borderId="0" xfId="0" applyNumberFormat="1" applyFill="1" applyAlignment="1">
      <alignment horizontal="center" vertical="center"/>
    </xf>
    <xf numFmtId="4" fontId="0" fillId="14" borderId="13" xfId="0" applyNumberFormat="1" applyFill="1" applyBorder="1" applyAlignment="1">
      <alignment horizontal="center" vertical="center"/>
    </xf>
    <xf numFmtId="4" fontId="0" fillId="16" borderId="10" xfId="0" applyNumberFormat="1" applyFill="1" applyBorder="1" applyAlignment="1">
      <alignment horizontal="center" vertical="center"/>
    </xf>
    <xf numFmtId="4" fontId="0" fillId="16" borderId="16" xfId="0" applyNumberFormat="1" applyFill="1" applyBorder="1" applyAlignment="1">
      <alignment horizontal="center" vertical="center"/>
    </xf>
    <xf numFmtId="4" fontId="0" fillId="16" borderId="11" xfId="0" applyNumberFormat="1" applyFill="1" applyBorder="1" applyAlignment="1">
      <alignment horizontal="center" vertical="center"/>
    </xf>
    <xf numFmtId="4" fontId="0" fillId="16" borderId="12" xfId="0" applyNumberFormat="1" applyFill="1" applyBorder="1" applyAlignment="1">
      <alignment horizontal="center" vertical="center"/>
    </xf>
    <xf numFmtId="4" fontId="0" fillId="16" borderId="0" xfId="0" applyNumberFormat="1" applyFill="1" applyAlignment="1">
      <alignment horizontal="center" vertical="center"/>
    </xf>
    <xf numFmtId="4" fontId="0" fillId="16" borderId="13" xfId="0" applyNumberFormat="1"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2"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4" fontId="0" fillId="16" borderId="17" xfId="0" applyNumberFormat="1" applyFill="1" applyBorder="1" applyAlignment="1">
      <alignment horizontal="center" vertical="center"/>
    </xf>
    <xf numFmtId="4" fontId="0" fillId="16" borderId="18" xfId="0" applyNumberFormat="1" applyFill="1" applyBorder="1" applyAlignment="1">
      <alignment horizontal="center" vertical="center"/>
    </xf>
    <xf numFmtId="4" fontId="0" fillId="16" borderId="19" xfId="0" applyNumberFormat="1" applyFill="1" applyBorder="1" applyAlignment="1">
      <alignment horizontal="center" vertical="center"/>
    </xf>
    <xf numFmtId="4" fontId="0" fillId="8" borderId="5" xfId="0" applyNumberFormat="1" applyFill="1" applyBorder="1" applyAlignment="1">
      <alignment horizontal="center" vertical="center"/>
    </xf>
    <xf numFmtId="4" fontId="0" fillId="8" borderId="2" xfId="0" applyNumberFormat="1" applyFill="1" applyBorder="1" applyAlignment="1">
      <alignment horizontal="center" vertical="center"/>
    </xf>
    <xf numFmtId="4" fontId="0" fillId="12" borderId="5" xfId="0" applyNumberFormat="1" applyFill="1" applyBorder="1" applyAlignment="1">
      <alignment horizontal="center" vertical="center"/>
    </xf>
    <xf numFmtId="4" fontId="0" fillId="12" borderId="2" xfId="0" applyNumberFormat="1" applyFill="1" applyBorder="1" applyAlignment="1">
      <alignment horizontal="center" vertical="center"/>
    </xf>
    <xf numFmtId="4" fontId="0" fillId="14" borderId="17" xfId="0" applyNumberFormat="1" applyFill="1" applyBorder="1" applyAlignment="1">
      <alignment horizontal="center" vertical="center"/>
    </xf>
    <xf numFmtId="4" fontId="0" fillId="14" borderId="18" xfId="0" applyNumberFormat="1" applyFill="1" applyBorder="1" applyAlignment="1">
      <alignment horizontal="center" vertical="center"/>
    </xf>
    <xf numFmtId="4" fontId="0" fillId="14" borderId="19" xfId="0" applyNumberFormat="1" applyFill="1" applyBorder="1" applyAlignment="1">
      <alignment horizontal="center" vertical="center"/>
    </xf>
    <xf numFmtId="4" fontId="0" fillId="8" borderId="16" xfId="0" applyNumberFormat="1" applyFill="1" applyBorder="1" applyAlignment="1">
      <alignment horizontal="center" vertical="center"/>
    </xf>
    <xf numFmtId="4" fontId="0" fillId="8" borderId="0" xfId="0" applyNumberFormat="1" applyFill="1" applyAlignment="1">
      <alignment horizontal="center" vertical="center"/>
    </xf>
    <xf numFmtId="4" fontId="0" fillId="8" borderId="17" xfId="0" applyNumberFormat="1" applyFill="1" applyBorder="1" applyAlignment="1">
      <alignment horizontal="center" vertical="center"/>
    </xf>
    <xf numFmtId="4" fontId="0" fillId="8" borderId="18" xfId="0" applyNumberFormat="1" applyFill="1" applyBorder="1" applyAlignment="1">
      <alignment horizontal="center" vertical="center"/>
    </xf>
    <xf numFmtId="4" fontId="0" fillId="8" borderId="19" xfId="0" applyNumberFormat="1" applyFill="1" applyBorder="1" applyAlignment="1">
      <alignment horizontal="center" vertical="center"/>
    </xf>
    <xf numFmtId="4" fontId="0" fillId="12" borderId="14" xfId="0" applyNumberFormat="1" applyFill="1" applyBorder="1" applyAlignment="1">
      <alignment horizontal="center" vertical="center"/>
    </xf>
    <xf numFmtId="4" fontId="0" fillId="12" borderId="15" xfId="0" applyNumberFormat="1" applyFill="1" applyBorder="1" applyAlignment="1">
      <alignment horizontal="center" vertical="center"/>
    </xf>
    <xf numFmtId="0" fontId="3" fillId="0" borderId="0" xfId="0" applyFont="1" applyAlignment="1">
      <alignment horizontal="left" vertical="center"/>
    </xf>
    <xf numFmtId="0" fontId="0" fillId="21" borderId="1" xfId="0" applyFill="1" applyBorder="1" applyAlignment="1">
      <alignment horizontal="center" vertical="center" wrapText="1"/>
    </xf>
    <xf numFmtId="0" fontId="0" fillId="0" borderId="0" xfId="0" applyAlignment="1">
      <alignment horizontal="left" vertical="center"/>
    </xf>
    <xf numFmtId="0" fontId="0" fillId="0" borderId="0" xfId="0"/>
    <xf numFmtId="0" fontId="0" fillId="0" borderId="1" xfId="0" applyBorder="1" applyAlignment="1">
      <alignment horizontal="center" vertical="center"/>
    </xf>
    <xf numFmtId="0" fontId="7" fillId="24" borderId="20" xfId="0" applyFont="1" applyFill="1" applyBorder="1" applyAlignment="1">
      <alignment horizontal="left" vertical="center"/>
    </xf>
    <xf numFmtId="0" fontId="7" fillId="24" borderId="0" xfId="0" applyFont="1" applyFill="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22" borderId="5" xfId="0" applyFill="1" applyBorder="1" applyAlignment="1">
      <alignment horizontal="center" vertical="center"/>
    </xf>
    <xf numFmtId="0" fontId="0" fillId="22" borderId="6" xfId="0" applyFill="1" applyBorder="1" applyAlignment="1">
      <alignment horizontal="center" vertical="center"/>
    </xf>
    <xf numFmtId="0" fontId="0" fillId="22" borderId="2" xfId="0" applyFill="1" applyBorder="1" applyAlignment="1">
      <alignment horizontal="center" vertical="center"/>
    </xf>
    <xf numFmtId="0" fontId="0" fillId="22" borderId="5" xfId="0" applyFill="1" applyBorder="1" applyAlignment="1">
      <alignment horizontal="center" vertical="center" wrapText="1"/>
    </xf>
    <xf numFmtId="0" fontId="0" fillId="22" borderId="6" xfId="0" applyFill="1" applyBorder="1" applyAlignment="1">
      <alignment horizontal="center" vertical="center" wrapText="1"/>
    </xf>
    <xf numFmtId="0" fontId="0" fillId="22" borderId="2" xfId="0" applyFill="1" applyBorder="1" applyAlignment="1">
      <alignment horizontal="center" vertical="center" wrapText="1"/>
    </xf>
    <xf numFmtId="4" fontId="0" fillId="20" borderId="1" xfId="0" applyNumberFormat="1" applyFill="1" applyBorder="1" applyAlignment="1">
      <alignment horizontal="center" vertical="center" wrapText="1"/>
    </xf>
    <xf numFmtId="4" fontId="0" fillId="23" borderId="1" xfId="0" applyNumberFormat="1" applyFill="1" applyBorder="1" applyAlignment="1">
      <alignment horizontal="center" vertical="center" wrapText="1"/>
    </xf>
    <xf numFmtId="4" fontId="0" fillId="23" borderId="5" xfId="0" applyNumberFormat="1" applyFill="1" applyBorder="1" applyAlignment="1">
      <alignment horizontal="center" vertical="center" wrapText="1"/>
    </xf>
    <xf numFmtId="4" fontId="0" fillId="23" borderId="2" xfId="0" applyNumberFormat="1" applyFill="1" applyBorder="1" applyAlignment="1">
      <alignment horizontal="center" vertical="center" wrapText="1"/>
    </xf>
    <xf numFmtId="0" fontId="0" fillId="22" borderId="1" xfId="0" applyFill="1" applyBorder="1" applyAlignment="1">
      <alignment horizontal="center" vertical="center"/>
    </xf>
    <xf numFmtId="0" fontId="0" fillId="22" borderId="1" xfId="0" applyFill="1" applyBorder="1" applyAlignment="1">
      <alignment horizontal="center"/>
    </xf>
    <xf numFmtId="4" fontId="0" fillId="17" borderId="1" xfId="0" applyNumberFormat="1" applyFill="1" applyBorder="1" applyAlignment="1">
      <alignment horizontal="center" vertical="center"/>
    </xf>
    <xf numFmtId="0" fontId="0" fillId="21" borderId="1" xfId="0" applyFill="1" applyBorder="1" applyAlignment="1">
      <alignment horizontal="center"/>
    </xf>
    <xf numFmtId="0" fontId="0" fillId="20" borderId="1" xfId="0" applyFill="1" applyBorder="1" applyAlignment="1">
      <alignment horizontal="center"/>
    </xf>
    <xf numFmtId="0" fontId="0" fillId="20" borderId="5" xfId="0" applyFill="1" applyBorder="1" applyAlignment="1">
      <alignment horizontal="center" vertical="center" wrapText="1"/>
    </xf>
    <xf numFmtId="0" fontId="0" fillId="20" borderId="2" xfId="0" applyFill="1" applyBorder="1" applyAlignment="1">
      <alignment horizontal="center" vertical="center" wrapText="1"/>
    </xf>
    <xf numFmtId="0" fontId="0" fillId="23" borderId="1" xfId="0" applyFill="1" applyBorder="1" applyAlignment="1">
      <alignment horizontal="center" vertical="center" wrapText="1"/>
    </xf>
    <xf numFmtId="0" fontId="0" fillId="23" borderId="1" xfId="0" applyFill="1" applyBorder="1" applyAlignment="1">
      <alignment horizontal="center" vertical="center"/>
    </xf>
    <xf numFmtId="0" fontId="0" fillId="17" borderId="1" xfId="0" applyFill="1" applyBorder="1" applyAlignment="1">
      <alignment horizontal="center"/>
    </xf>
    <xf numFmtId="4"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4" fontId="0" fillId="25" borderId="1" xfId="0" applyNumberFormat="1" applyFill="1" applyBorder="1" applyAlignment="1">
      <alignment horizontal="center" vertical="center"/>
    </xf>
    <xf numFmtId="4" fontId="0" fillId="20" borderId="5" xfId="0" applyNumberFormat="1" applyFill="1" applyBorder="1" applyAlignment="1">
      <alignment horizontal="center" vertical="center" wrapText="1"/>
    </xf>
    <xf numFmtId="4" fontId="0" fillId="20" borderId="2" xfId="0" applyNumberFormat="1" applyFill="1" applyBorder="1" applyAlignment="1">
      <alignment horizontal="center" vertical="center" wrapText="1"/>
    </xf>
    <xf numFmtId="4" fontId="0" fillId="25" borderId="5" xfId="0" applyNumberFormat="1" applyFill="1" applyBorder="1" applyAlignment="1">
      <alignment horizontal="center" vertical="center" wrapText="1"/>
    </xf>
    <xf numFmtId="4" fontId="0" fillId="25" borderId="2" xfId="0" applyNumberFormat="1" applyFill="1" applyBorder="1" applyAlignment="1">
      <alignment horizontal="center" vertical="center" wrapText="1"/>
    </xf>
    <xf numFmtId="0" fontId="0" fillId="20"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5" borderId="1" xfId="0" applyFill="1" applyBorder="1" applyAlignment="1">
      <alignment horizontal="center" vertical="center"/>
    </xf>
    <xf numFmtId="4" fontId="0" fillId="25" borderId="1" xfId="0" applyNumberFormat="1" applyFill="1" applyBorder="1" applyAlignment="1">
      <alignment horizontal="center" vertical="center" wrapText="1"/>
    </xf>
    <xf numFmtId="4" fontId="0" fillId="26" borderId="1" xfId="0" applyNumberFormat="1" applyFill="1" applyBorder="1" applyAlignment="1">
      <alignment horizontal="center" vertical="center"/>
    </xf>
    <xf numFmtId="0" fontId="0" fillId="20" borderId="22" xfId="0" applyFill="1" applyBorder="1" applyAlignment="1">
      <alignment horizontal="center" vertical="center"/>
    </xf>
    <xf numFmtId="0" fontId="0" fillId="20" borderId="4" xfId="0" applyFill="1" applyBorder="1" applyAlignment="1">
      <alignment horizontal="center" vertical="center"/>
    </xf>
    <xf numFmtId="0" fontId="0" fillId="25" borderId="22" xfId="0" applyFill="1" applyBorder="1" applyAlignment="1">
      <alignment horizontal="center" vertical="center"/>
    </xf>
    <xf numFmtId="0" fontId="0" fillId="25" borderId="4" xfId="0" applyFill="1" applyBorder="1" applyAlignment="1">
      <alignment horizontal="center" vertical="center"/>
    </xf>
    <xf numFmtId="4" fontId="0" fillId="20" borderId="5" xfId="0" applyNumberFormat="1" applyFill="1" applyBorder="1" applyAlignment="1">
      <alignment horizontal="center" vertical="center"/>
    </xf>
    <xf numFmtId="4" fontId="0" fillId="20" borderId="2" xfId="0" applyNumberFormat="1" applyFill="1" applyBorder="1" applyAlignment="1">
      <alignment horizontal="center" vertical="center"/>
    </xf>
    <xf numFmtId="4" fontId="0" fillId="25" borderId="5" xfId="0" applyNumberFormat="1" applyFill="1" applyBorder="1" applyAlignment="1">
      <alignment horizontal="center" vertical="center"/>
    </xf>
    <xf numFmtId="4" fontId="0" fillId="25" borderId="2" xfId="0" applyNumberFormat="1" applyFill="1" applyBorder="1" applyAlignment="1">
      <alignment horizontal="center" vertical="center"/>
    </xf>
    <xf numFmtId="0" fontId="0" fillId="0" borderId="0" xfId="0" applyAlignment="1">
      <alignment horizontal="center" vertical="center"/>
    </xf>
    <xf numFmtId="0" fontId="0" fillId="21" borderId="22" xfId="0" applyFill="1" applyBorder="1" applyAlignment="1">
      <alignment horizontal="center"/>
    </xf>
    <xf numFmtId="0" fontId="0" fillId="21" borderId="10" xfId="0" applyFill="1" applyBorder="1" applyAlignment="1">
      <alignment horizontal="center" vertical="center" wrapText="1"/>
    </xf>
    <xf numFmtId="0" fontId="0" fillId="21" borderId="16" xfId="0" applyFill="1" applyBorder="1" applyAlignment="1">
      <alignment horizontal="center" vertical="center" wrapText="1"/>
    </xf>
    <xf numFmtId="0" fontId="0" fillId="21" borderId="11" xfId="0" applyFill="1" applyBorder="1" applyAlignment="1">
      <alignment horizontal="center" vertical="center" wrapText="1"/>
    </xf>
    <xf numFmtId="4" fontId="3" fillId="20" borderId="1" xfId="0" applyNumberFormat="1" applyFont="1" applyFill="1" applyBorder="1" applyAlignment="1">
      <alignment horizontal="center" vertical="center" wrapText="1"/>
    </xf>
    <xf numFmtId="4" fontId="0" fillId="17" borderId="1" xfId="0" applyNumberFormat="1" applyFill="1" applyBorder="1" applyAlignment="1">
      <alignment horizontal="center" vertical="center" wrapText="1"/>
    </xf>
    <xf numFmtId="4" fontId="0" fillId="20" borderId="36" xfId="0" applyNumberFormat="1" applyFill="1" applyBorder="1" applyAlignment="1">
      <alignment horizontal="center" vertical="center" wrapText="1"/>
    </xf>
    <xf numFmtId="4" fontId="0" fillId="20" borderId="28" xfId="0" applyNumberFormat="1" applyFill="1" applyBorder="1" applyAlignment="1">
      <alignment horizontal="center" vertical="center" wrapText="1"/>
    </xf>
    <xf numFmtId="4" fontId="0" fillId="20" borderId="37" xfId="0" applyNumberFormat="1" applyFill="1" applyBorder="1" applyAlignment="1">
      <alignment horizontal="center" vertical="center" wrapText="1"/>
    </xf>
    <xf numFmtId="0" fontId="0" fillId="20" borderId="5" xfId="0" applyFill="1" applyBorder="1" applyAlignment="1">
      <alignment horizontal="center" vertical="center"/>
    </xf>
    <xf numFmtId="0" fontId="0" fillId="20" borderId="2" xfId="0" applyFill="1" applyBorder="1" applyAlignment="1">
      <alignment horizontal="center" vertical="center"/>
    </xf>
    <xf numFmtId="0" fontId="0" fillId="20" borderId="6" xfId="0" applyFill="1" applyBorder="1" applyAlignment="1">
      <alignment horizontal="center" vertical="center" wrapText="1"/>
    </xf>
    <xf numFmtId="4" fontId="0" fillId="20" borderId="30" xfId="0" quotePrefix="1" applyNumberFormat="1" applyFill="1" applyBorder="1" applyAlignment="1">
      <alignment horizontal="center" vertical="center" wrapText="1"/>
    </xf>
    <xf numFmtId="4" fontId="0" fillId="20" borderId="7" xfId="0" applyNumberFormat="1" applyFill="1" applyBorder="1" applyAlignment="1">
      <alignment horizontal="center" vertical="center" wrapText="1"/>
    </xf>
    <xf numFmtId="4" fontId="0" fillId="20" borderId="31" xfId="0" applyNumberFormat="1" applyFill="1" applyBorder="1" applyAlignment="1">
      <alignment horizontal="center" vertical="center" wrapText="1"/>
    </xf>
    <xf numFmtId="4" fontId="0" fillId="20" borderId="34" xfId="0" applyNumberFormat="1" applyFill="1" applyBorder="1" applyAlignment="1">
      <alignment horizontal="center" vertical="center" wrapText="1"/>
    </xf>
    <xf numFmtId="4" fontId="0" fillId="20" borderId="3" xfId="0" applyNumberFormat="1" applyFill="1" applyBorder="1" applyAlignment="1">
      <alignment horizontal="center" vertical="center" wrapText="1"/>
    </xf>
    <xf numFmtId="4" fontId="0" fillId="20" borderId="35" xfId="0" applyNumberFormat="1" applyFill="1" applyBorder="1" applyAlignment="1">
      <alignment horizontal="center" vertical="center" wrapText="1"/>
    </xf>
    <xf numFmtId="0" fontId="0" fillId="20" borderId="42" xfId="0" applyFill="1" applyBorder="1" applyAlignment="1">
      <alignment horizontal="center" vertical="center"/>
    </xf>
    <xf numFmtId="0" fontId="0" fillId="20" borderId="43" xfId="0" applyFill="1" applyBorder="1" applyAlignment="1">
      <alignment horizontal="center" vertical="center"/>
    </xf>
    <xf numFmtId="0" fontId="0" fillId="20" borderId="38" xfId="0" applyFill="1" applyBorder="1" applyAlignment="1">
      <alignment horizontal="center" vertical="center"/>
    </xf>
    <xf numFmtId="0" fontId="0" fillId="20" borderId="39" xfId="0" applyFill="1" applyBorder="1" applyAlignment="1">
      <alignment horizontal="center" vertical="center"/>
    </xf>
    <xf numFmtId="0" fontId="0" fillId="20" borderId="46" xfId="0" applyFill="1" applyBorder="1" applyAlignment="1">
      <alignment horizontal="center" vertical="center"/>
    </xf>
    <xf numFmtId="0" fontId="0" fillId="20" borderId="29" xfId="0" applyFill="1" applyBorder="1" applyAlignment="1">
      <alignment horizontal="center" vertical="center"/>
    </xf>
    <xf numFmtId="0" fontId="0" fillId="20" borderId="47" xfId="0" applyFill="1" applyBorder="1" applyAlignment="1">
      <alignment horizontal="center" vertical="center"/>
    </xf>
    <xf numFmtId="0" fontId="0" fillId="20" borderId="48" xfId="0" applyFill="1" applyBorder="1" applyAlignment="1">
      <alignment horizontal="center" vertical="center"/>
    </xf>
    <xf numFmtId="0" fontId="0" fillId="20" borderId="49" xfId="0" applyFill="1" applyBorder="1" applyAlignment="1">
      <alignment horizontal="center" vertical="center"/>
    </xf>
    <xf numFmtId="0" fontId="0" fillId="20" borderId="50" xfId="0" applyFill="1" applyBorder="1" applyAlignment="1">
      <alignment horizontal="center" vertical="center"/>
    </xf>
    <xf numFmtId="4" fontId="0" fillId="0" borderId="0" xfId="0" applyNumberFormat="1" applyAlignment="1">
      <alignment horizontal="center" wrapText="1"/>
    </xf>
    <xf numFmtId="4" fontId="0" fillId="0" borderId="13" xfId="0" applyNumberFormat="1" applyBorder="1" applyAlignment="1">
      <alignment horizontal="center" wrapText="1"/>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20" xfId="0" applyBorder="1" applyAlignment="1">
      <alignment horizontal="center" vertical="center"/>
    </xf>
    <xf numFmtId="4" fontId="0" fillId="17" borderId="5" xfId="0" applyNumberFormat="1" applyFill="1" applyBorder="1" applyAlignment="1">
      <alignment horizontal="center" vertical="center" wrapText="1"/>
    </xf>
    <xf numFmtId="4" fontId="0" fillId="17" borderId="6" xfId="0" applyNumberFormat="1" applyFill="1" applyBorder="1" applyAlignment="1">
      <alignment horizontal="center" vertical="center" wrapText="1"/>
    </xf>
    <xf numFmtId="4" fontId="0" fillId="17" borderId="2" xfId="0" applyNumberFormat="1" applyFill="1" applyBorder="1" applyAlignment="1">
      <alignment horizontal="center" vertical="center" wrapText="1"/>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25" borderId="2" xfId="0" applyFill="1" applyBorder="1" applyAlignment="1">
      <alignment horizontal="center" vertical="center"/>
    </xf>
    <xf numFmtId="0" fontId="0" fillId="25" borderId="5" xfId="0" applyFill="1" applyBorder="1" applyAlignment="1">
      <alignment horizontal="center" vertical="center" wrapText="1"/>
    </xf>
    <xf numFmtId="0" fontId="0" fillId="25" borderId="2" xfId="0" applyFill="1" applyBorder="1" applyAlignment="1">
      <alignment horizontal="center" vertical="center" wrapText="1"/>
    </xf>
  </cellXfs>
  <cellStyles count="2">
    <cellStyle name="Normalny" xfId="0" builtinId="0"/>
    <cellStyle name="Normalny 2" xfId="1" xr:uid="{763AD844-B68B-40D1-9EB8-DA140A2162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C55E-8217-42F8-AEC3-8DA4ACCAE96F}">
  <dimension ref="A1:A6"/>
  <sheetViews>
    <sheetView tabSelected="1" workbookViewId="0">
      <selection activeCell="A3" sqref="A3"/>
    </sheetView>
  </sheetViews>
  <sheetFormatPr defaultRowHeight="14.4"/>
  <cols>
    <col min="1" max="16384" width="8.796875" style="302"/>
  </cols>
  <sheetData>
    <row r="1" spans="1:1">
      <c r="A1" s="304" t="s">
        <v>571</v>
      </c>
    </row>
    <row r="2" spans="1:1">
      <c r="A2" s="301" t="s">
        <v>573</v>
      </c>
    </row>
    <row r="3" spans="1:1">
      <c r="A3" s="301" t="s">
        <v>569</v>
      </c>
    </row>
    <row r="4" spans="1:1">
      <c r="A4" s="303" t="s">
        <v>570</v>
      </c>
    </row>
    <row r="6" spans="1:1">
      <c r="A6" s="301" t="s">
        <v>572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2438-67E3-B041-BACB-35A9A060E7AC}">
  <dimension ref="A2:O12"/>
  <sheetViews>
    <sheetView zoomScale="80" zoomScaleNormal="80" workbookViewId="0">
      <selection activeCell="H13" sqref="H13"/>
    </sheetView>
  </sheetViews>
  <sheetFormatPr defaultColWidth="11.19921875" defaultRowHeight="15.6"/>
  <cols>
    <col min="1" max="1" width="34" customWidth="1"/>
    <col min="2" max="2" width="26.796875" customWidth="1"/>
    <col min="4" max="4" width="26.69921875" customWidth="1"/>
    <col min="5" max="5" width="19.296875" customWidth="1"/>
    <col min="6" max="6" width="8.19921875" customWidth="1"/>
    <col min="7" max="8" width="6.796875" customWidth="1"/>
    <col min="9" max="9" width="26.796875" customWidth="1"/>
    <col min="10" max="10" width="16" customWidth="1"/>
    <col min="12" max="12" width="16.5" customWidth="1"/>
  </cols>
  <sheetData>
    <row r="2" spans="1:15" ht="46.95" customHeight="1">
      <c r="A2" s="616" t="s">
        <v>155</v>
      </c>
      <c r="B2" s="616"/>
      <c r="D2" s="616" t="s">
        <v>336</v>
      </c>
      <c r="E2" s="616"/>
      <c r="I2" s="618" t="s">
        <v>507</v>
      </c>
      <c r="J2" s="618"/>
      <c r="L2" s="167" t="s">
        <v>453</v>
      </c>
      <c r="M2" s="276" t="s">
        <v>326</v>
      </c>
      <c r="N2" s="277">
        <v>2853.43</v>
      </c>
      <c r="O2" s="258" t="s">
        <v>327</v>
      </c>
    </row>
    <row r="3" spans="1:15" ht="54" customHeight="1">
      <c r="A3" s="121" t="s">
        <v>452</v>
      </c>
      <c r="B3" s="148">
        <v>8593453.9900000002</v>
      </c>
      <c r="D3" s="121" t="s">
        <v>549</v>
      </c>
      <c r="E3" s="148">
        <v>137029.12</v>
      </c>
      <c r="I3" s="168" t="s">
        <v>475</v>
      </c>
      <c r="J3" s="187">
        <v>310</v>
      </c>
    </row>
    <row r="4" spans="1:15" ht="37.950000000000003" customHeight="1">
      <c r="I4" s="3"/>
      <c r="J4" s="188"/>
    </row>
    <row r="5" spans="1:15" ht="37.950000000000003" customHeight="1"/>
    <row r="6" spans="1:15">
      <c r="A6" s="617" t="s">
        <v>303</v>
      </c>
      <c r="B6" s="617"/>
      <c r="D6" s="617" t="s">
        <v>303</v>
      </c>
      <c r="E6" s="617"/>
    </row>
    <row r="7" spans="1:15" ht="58.95" customHeight="1">
      <c r="A7" s="121" t="s">
        <v>301</v>
      </c>
      <c r="B7" s="148">
        <f>B3*N2</f>
        <v>24520819418.685699</v>
      </c>
      <c r="D7" s="121" t="s">
        <v>333</v>
      </c>
      <c r="E7" s="148">
        <f>E3*N2</f>
        <v>391003001.88159996</v>
      </c>
    </row>
    <row r="10" spans="1:15">
      <c r="A10" s="227"/>
      <c r="B10" s="226"/>
    </row>
    <row r="11" spans="1:15" ht="49.05" customHeight="1">
      <c r="A11" s="121" t="s">
        <v>461</v>
      </c>
      <c r="B11" s="2"/>
      <c r="D11" s="121" t="s">
        <v>508</v>
      </c>
    </row>
    <row r="12" spans="1:15" ht="46.05" customHeight="1">
      <c r="A12" s="148">
        <f>B7/IMF!F48</f>
        <v>26572538.24137906</v>
      </c>
      <c r="D12" s="148">
        <f>E7/IMF!F48</f>
        <v>423719.20948430186</v>
      </c>
    </row>
  </sheetData>
  <mergeCells count="5">
    <mergeCell ref="A2:B2"/>
    <mergeCell ref="A6:B6"/>
    <mergeCell ref="I2:J2"/>
    <mergeCell ref="D2:E2"/>
    <mergeCell ref="D6:E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BE9AF-4C05-2F4F-B2D1-DBDB1A389D20}">
  <dimension ref="A2:C14"/>
  <sheetViews>
    <sheetView zoomScale="80" zoomScaleNormal="80" workbookViewId="0">
      <selection activeCell="D12" sqref="D12"/>
    </sheetView>
  </sheetViews>
  <sheetFormatPr defaultColWidth="11.19921875" defaultRowHeight="15.6"/>
  <cols>
    <col min="1" max="1" width="36" customWidth="1"/>
    <col min="2" max="2" width="29.69921875" customWidth="1"/>
    <col min="3" max="3" width="21.19921875" customWidth="1"/>
    <col min="4" max="4" width="29.5" customWidth="1"/>
    <col min="5" max="5" width="22.296875" customWidth="1"/>
    <col min="6" max="6" width="19.19921875" customWidth="1"/>
    <col min="7" max="7" width="36.69921875" customWidth="1"/>
    <col min="10" max="10" width="11.19921875" bestFit="1" customWidth="1"/>
  </cols>
  <sheetData>
    <row r="2" spans="1:3">
      <c r="A2" s="619" t="s">
        <v>155</v>
      </c>
      <c r="B2" s="619"/>
    </row>
    <row r="3" spans="1:3" ht="73.05" customHeight="1">
      <c r="A3" s="116" t="s">
        <v>454</v>
      </c>
      <c r="B3" s="119">
        <v>3423672399</v>
      </c>
    </row>
    <row r="7" spans="1:3" ht="57" customHeight="1">
      <c r="A7" s="116" t="s">
        <v>462</v>
      </c>
      <c r="B7" s="42"/>
      <c r="C7" s="167" t="s">
        <v>198</v>
      </c>
    </row>
    <row r="8" spans="1:3" ht="48" customHeight="1">
      <c r="A8" s="119">
        <f>(B3/IMF!C30)/IMF!F30</f>
        <v>4458503094.320116</v>
      </c>
      <c r="C8" s="172" t="s">
        <v>157</v>
      </c>
    </row>
    <row r="9" spans="1:3" ht="48" customHeight="1">
      <c r="C9" s="147">
        <f>IMF!H30/IMF!C30</f>
        <v>4776362244700.2285</v>
      </c>
    </row>
    <row r="12" spans="1:3" ht="46.05" customHeight="1"/>
    <row r="14" spans="1:3" ht="43.95" customHeight="1"/>
  </sheetData>
  <mergeCells count="1">
    <mergeCell ref="A2:B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4B06C-7BA3-2044-9BF3-32572480F028}">
  <dimension ref="A2:F13"/>
  <sheetViews>
    <sheetView zoomScale="80" zoomScaleNormal="80" workbookViewId="0">
      <selection activeCell="F12" sqref="F12"/>
    </sheetView>
  </sheetViews>
  <sheetFormatPr defaultColWidth="11.19921875" defaultRowHeight="15.6"/>
  <cols>
    <col min="1" max="1" width="26.796875" customWidth="1"/>
    <col min="2" max="2" width="26.19921875" customWidth="1"/>
    <col min="4" max="4" width="29.796875" customWidth="1"/>
    <col min="5" max="5" width="32.296875" customWidth="1"/>
    <col min="6" max="6" width="22.296875" customWidth="1"/>
  </cols>
  <sheetData>
    <row r="2" spans="1:6">
      <c r="A2" s="620" t="s">
        <v>155</v>
      </c>
      <c r="B2" s="620"/>
      <c r="D2" s="620" t="s">
        <v>155</v>
      </c>
      <c r="E2" s="620"/>
    </row>
    <row r="3" spans="1:6" ht="51" customHeight="1">
      <c r="A3" s="621" t="s">
        <v>387</v>
      </c>
      <c r="B3" s="622"/>
      <c r="D3" s="621" t="s">
        <v>386</v>
      </c>
      <c r="E3" s="622"/>
    </row>
    <row r="4" spans="1:6" ht="37.049999999999997" customHeight="1">
      <c r="A4" s="115" t="s">
        <v>9</v>
      </c>
      <c r="B4" s="151" t="s">
        <v>10</v>
      </c>
      <c r="D4" s="115" t="s">
        <v>9</v>
      </c>
      <c r="E4" s="151" t="s">
        <v>10</v>
      </c>
    </row>
    <row r="5" spans="1:6" ht="45" customHeight="1">
      <c r="A5" s="131">
        <v>1331149879</v>
      </c>
      <c r="B5" s="151">
        <v>344081569.80000001</v>
      </c>
      <c r="D5" s="131">
        <v>73625.539999999994</v>
      </c>
      <c r="E5" s="151">
        <v>30892.58</v>
      </c>
    </row>
    <row r="6" spans="1:6" ht="45" customHeight="1">
      <c r="A6" s="44"/>
      <c r="B6" s="34"/>
      <c r="E6" s="4"/>
      <c r="F6" s="34"/>
    </row>
    <row r="7" spans="1:6" ht="24" customHeight="1">
      <c r="A7" s="228"/>
      <c r="B7" s="228"/>
      <c r="C7" s="228"/>
      <c r="D7" s="228"/>
      <c r="E7" s="228"/>
      <c r="F7" s="34"/>
    </row>
    <row r="8" spans="1:6" ht="43.95" customHeight="1">
      <c r="A8" s="621" t="s">
        <v>459</v>
      </c>
      <c r="B8" s="622"/>
      <c r="D8" s="621" t="s">
        <v>460</v>
      </c>
      <c r="E8" s="622"/>
      <c r="F8" s="34"/>
    </row>
    <row r="9" spans="1:6" ht="45" customHeight="1">
      <c r="A9" s="115" t="s">
        <v>9</v>
      </c>
      <c r="B9" s="151" t="s">
        <v>10</v>
      </c>
      <c r="D9" s="115" t="s">
        <v>9</v>
      </c>
      <c r="E9" s="151" t="s">
        <v>10</v>
      </c>
    </row>
    <row r="10" spans="1:6" ht="45" customHeight="1">
      <c r="A10" s="131">
        <f>A5/IMF!$F$74</f>
        <v>672297918.68686867</v>
      </c>
      <c r="B10" s="131">
        <f>B5/IMF!$F$74</f>
        <v>173778570.60606062</v>
      </c>
      <c r="D10" s="131">
        <f>D5/IMF!$F$74</f>
        <v>37184.616161616155</v>
      </c>
      <c r="E10" s="131">
        <f>E5/IMF!$F$74</f>
        <v>15602.313131313133</v>
      </c>
    </row>
    <row r="11" spans="1:6" ht="52.95" customHeight="1"/>
    <row r="12" spans="1:6" ht="31.95" customHeight="1">
      <c r="A12" s="44"/>
      <c r="B12" s="34"/>
    </row>
    <row r="13" spans="1:6" ht="31.95" customHeight="1"/>
  </sheetData>
  <mergeCells count="6">
    <mergeCell ref="A2:B2"/>
    <mergeCell ref="A3:B3"/>
    <mergeCell ref="D2:E2"/>
    <mergeCell ref="D3:E3"/>
    <mergeCell ref="A8:B8"/>
    <mergeCell ref="D8:E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30E7C-D09B-6B43-BD2D-75CF4126EC2C}">
  <dimension ref="A2:G28"/>
  <sheetViews>
    <sheetView zoomScale="80" zoomScaleNormal="80" workbookViewId="0">
      <selection activeCell="I21" sqref="I21"/>
    </sheetView>
  </sheetViews>
  <sheetFormatPr defaultColWidth="10.796875" defaultRowHeight="15.6"/>
  <cols>
    <col min="1" max="1" width="22.5" style="3" customWidth="1"/>
    <col min="2" max="2" width="24.296875" style="3" customWidth="1"/>
    <col min="3" max="3" width="24.19921875" style="3" customWidth="1"/>
    <col min="4" max="4" width="14.5" style="3" customWidth="1"/>
    <col min="5" max="5" width="16.296875" style="3" customWidth="1"/>
    <col min="6" max="6" width="21.5" style="3" customWidth="1"/>
    <col min="7" max="7" width="27.296875" style="3" customWidth="1"/>
    <col min="8" max="8" width="29.69921875" style="3" customWidth="1"/>
    <col min="9" max="16384" width="10.796875" style="3"/>
  </cols>
  <sheetData>
    <row r="2" spans="1:7">
      <c r="A2" s="624" t="s">
        <v>155</v>
      </c>
      <c r="B2" s="624"/>
      <c r="C2" s="624"/>
      <c r="E2" s="624" t="s">
        <v>155</v>
      </c>
      <c r="F2" s="624"/>
      <c r="G2" s="624"/>
    </row>
    <row r="3" spans="1:7" ht="51" customHeight="1">
      <c r="A3" s="623" t="s">
        <v>457</v>
      </c>
      <c r="B3" s="623"/>
      <c r="C3" s="623"/>
      <c r="E3" s="623" t="s">
        <v>458</v>
      </c>
      <c r="F3" s="623"/>
      <c r="G3" s="623"/>
    </row>
    <row r="4" spans="1:7" ht="51" customHeight="1">
      <c r="A4" s="149"/>
      <c r="B4" s="149" t="s">
        <v>9</v>
      </c>
      <c r="C4" s="153" t="s">
        <v>10</v>
      </c>
      <c r="E4" s="149"/>
      <c r="F4" s="149" t="s">
        <v>9</v>
      </c>
      <c r="G4" s="153" t="s">
        <v>10</v>
      </c>
    </row>
    <row r="5" spans="1:7">
      <c r="A5" s="154" t="s">
        <v>287</v>
      </c>
      <c r="B5" s="150">
        <v>159929422</v>
      </c>
      <c r="C5" s="150">
        <v>41304921</v>
      </c>
      <c r="E5" s="154" t="s">
        <v>287</v>
      </c>
      <c r="F5" s="150">
        <v>68355</v>
      </c>
      <c r="G5" s="150">
        <v>53469</v>
      </c>
    </row>
    <row r="6" spans="1:7">
      <c r="A6" s="154" t="s">
        <v>286</v>
      </c>
      <c r="B6" s="150">
        <v>418875491</v>
      </c>
      <c r="C6" s="150">
        <v>213179342</v>
      </c>
      <c r="E6" s="154" t="s">
        <v>286</v>
      </c>
      <c r="F6" s="150">
        <v>56248</v>
      </c>
      <c r="G6" s="150">
        <v>58995</v>
      </c>
    </row>
    <row r="7" spans="1:7">
      <c r="A7" s="154" t="s">
        <v>285</v>
      </c>
      <c r="B7" s="150" t="s">
        <v>284</v>
      </c>
      <c r="C7" s="150" t="s">
        <v>284</v>
      </c>
      <c r="E7" s="154" t="s">
        <v>285</v>
      </c>
      <c r="F7" s="150" t="s">
        <v>284</v>
      </c>
      <c r="G7" s="150" t="s">
        <v>284</v>
      </c>
    </row>
    <row r="8" spans="1:7">
      <c r="A8" s="154" t="s">
        <v>283</v>
      </c>
      <c r="B8" s="150">
        <v>365045791</v>
      </c>
      <c r="C8" s="150">
        <v>31506673</v>
      </c>
      <c r="E8" s="154" t="s">
        <v>283</v>
      </c>
      <c r="F8" s="150">
        <v>32348</v>
      </c>
      <c r="G8" s="150">
        <v>23901</v>
      </c>
    </row>
    <row r="9" spans="1:7">
      <c r="A9" s="154" t="s">
        <v>282</v>
      </c>
      <c r="B9" s="150">
        <v>329672354</v>
      </c>
      <c r="C9" s="150">
        <v>27897550</v>
      </c>
      <c r="E9" s="154" t="s">
        <v>282</v>
      </c>
      <c r="F9" s="150">
        <v>99973</v>
      </c>
      <c r="G9" s="150">
        <v>37346</v>
      </c>
    </row>
    <row r="10" spans="1:7">
      <c r="A10" s="154" t="s">
        <v>281</v>
      </c>
      <c r="B10" s="150">
        <v>13613746</v>
      </c>
      <c r="C10" s="150">
        <v>9426564</v>
      </c>
      <c r="E10" s="154" t="s">
        <v>281</v>
      </c>
      <c r="F10" s="150">
        <v>24099</v>
      </c>
      <c r="G10" s="150">
        <v>37858</v>
      </c>
    </row>
    <row r="11" spans="1:7">
      <c r="A11" s="154" t="s">
        <v>280</v>
      </c>
      <c r="B11" s="150">
        <v>801542204</v>
      </c>
      <c r="C11" s="150">
        <v>309931087</v>
      </c>
      <c r="E11" s="154" t="s">
        <v>280</v>
      </c>
      <c r="F11" s="150">
        <v>48262</v>
      </c>
      <c r="G11" s="150">
        <v>50719</v>
      </c>
    </row>
    <row r="12" spans="1:7">
      <c r="A12" s="154" t="s">
        <v>279</v>
      </c>
      <c r="B12" s="150">
        <v>105719075</v>
      </c>
      <c r="C12" s="150">
        <v>1094956</v>
      </c>
      <c r="E12" s="154" t="s">
        <v>279</v>
      </c>
      <c r="F12" s="150">
        <v>93573</v>
      </c>
      <c r="G12" s="150">
        <v>14257</v>
      </c>
    </row>
    <row r="13" spans="1:7">
      <c r="A13" s="154" t="s">
        <v>278</v>
      </c>
      <c r="B13" s="150">
        <v>37492226</v>
      </c>
      <c r="C13" s="150">
        <v>19901903</v>
      </c>
      <c r="E13" s="154" t="s">
        <v>278</v>
      </c>
      <c r="F13" s="150">
        <v>225179</v>
      </c>
      <c r="G13" s="150">
        <v>170102</v>
      </c>
    </row>
    <row r="14" spans="1:7">
      <c r="A14" s="112"/>
      <c r="B14" s="34"/>
      <c r="F14" s="112"/>
      <c r="G14" s="34"/>
    </row>
    <row r="17" spans="1:7">
      <c r="A17" s="232"/>
      <c r="B17" s="232"/>
      <c r="C17" s="232"/>
      <c r="D17" s="232"/>
      <c r="E17" s="232"/>
      <c r="F17" s="232"/>
      <c r="G17" s="232"/>
    </row>
    <row r="18" spans="1:7" ht="34.049999999999997" customHeight="1">
      <c r="A18" s="623" t="s">
        <v>455</v>
      </c>
      <c r="B18" s="623"/>
      <c r="C18" s="623"/>
      <c r="E18" s="623" t="s">
        <v>456</v>
      </c>
      <c r="F18" s="623"/>
      <c r="G18" s="623"/>
    </row>
    <row r="19" spans="1:7">
      <c r="A19" s="149"/>
      <c r="B19" s="149" t="s">
        <v>9</v>
      </c>
      <c r="C19" s="153" t="s">
        <v>10</v>
      </c>
      <c r="E19" s="149"/>
      <c r="F19" s="149" t="s">
        <v>9</v>
      </c>
      <c r="G19" s="153" t="s">
        <v>10</v>
      </c>
    </row>
    <row r="20" spans="1:7">
      <c r="A20" s="154" t="s">
        <v>287</v>
      </c>
      <c r="B20" s="150">
        <f>B5/IMF!$F$6</f>
        <v>208241434.89583334</v>
      </c>
      <c r="C20" s="150">
        <f>C5/IMF!$F$6</f>
        <v>53782449.21875</v>
      </c>
      <c r="E20" s="154" t="s">
        <v>287</v>
      </c>
      <c r="F20" s="150">
        <f>F5/IMF!$F$6</f>
        <v>89003.90625</v>
      </c>
      <c r="G20" s="150">
        <f>G5/IMF!$F$6</f>
        <v>69621.09375</v>
      </c>
    </row>
    <row r="21" spans="1:7">
      <c r="A21" s="154" t="s">
        <v>286</v>
      </c>
      <c r="B21" s="150">
        <f>B6/IMF!$F$27</f>
        <v>547549661.43790853</v>
      </c>
      <c r="C21" s="150">
        <f>C6/IMF!$F$27</f>
        <v>278665806.53594768</v>
      </c>
      <c r="E21" s="154" t="s">
        <v>286</v>
      </c>
      <c r="F21" s="150">
        <f>F6/IMF!$F$27</f>
        <v>73526.797385620914</v>
      </c>
      <c r="G21" s="150">
        <f>G6/IMF!$F$27</f>
        <v>77117.647058823524</v>
      </c>
    </row>
    <row r="22" spans="1:7">
      <c r="A22" s="154" t="s">
        <v>285</v>
      </c>
      <c r="B22" s="150" t="s">
        <v>284</v>
      </c>
      <c r="C22" s="150" t="s">
        <v>284</v>
      </c>
      <c r="E22" s="154" t="s">
        <v>285</v>
      </c>
      <c r="F22" s="150" t="s">
        <v>284</v>
      </c>
      <c r="G22" s="150" t="s">
        <v>284</v>
      </c>
    </row>
    <row r="23" spans="1:7">
      <c r="A23" s="154" t="s">
        <v>283</v>
      </c>
      <c r="B23" s="150">
        <f>B8/IMF!$F$37</f>
        <v>541610965.87537086</v>
      </c>
      <c r="C23" s="150">
        <f>C8/IMF!$F$37</f>
        <v>46745805.63798219</v>
      </c>
      <c r="E23" s="154" t="s">
        <v>283</v>
      </c>
      <c r="F23" s="150">
        <f>F8/IMF!$F$37</f>
        <v>47994.065281899108</v>
      </c>
      <c r="G23" s="150">
        <f>G8/IMF!$F$37</f>
        <v>35461.424332344213</v>
      </c>
    </row>
    <row r="24" spans="1:7">
      <c r="A24" s="154" t="s">
        <v>282</v>
      </c>
      <c r="B24" s="150">
        <f>B9/IMF!$F$52</f>
        <v>415728063.05170238</v>
      </c>
      <c r="C24" s="150">
        <f>C9/IMF!$F$52</f>
        <v>35179760.403530896</v>
      </c>
      <c r="E24" s="154" t="s">
        <v>282</v>
      </c>
      <c r="F24" s="150">
        <f>F9/IMF!$F$52</f>
        <v>126069.35687263556</v>
      </c>
      <c r="G24" s="150">
        <f>G9/IMF!$F$52</f>
        <v>47094.577553593947</v>
      </c>
    </row>
    <row r="25" spans="1:7">
      <c r="A25" s="154" t="s">
        <v>281</v>
      </c>
      <c r="B25" s="150">
        <f>B10/IMF!$F$56</f>
        <v>23676080</v>
      </c>
      <c r="C25" s="150">
        <f>C10/IMF!$F$56</f>
        <v>16394024.347826088</v>
      </c>
      <c r="E25" s="154" t="s">
        <v>281</v>
      </c>
      <c r="F25" s="150">
        <f>F10/IMF!$F$56</f>
        <v>41911.304347826088</v>
      </c>
      <c r="G25" s="150">
        <f>G10/IMF!$F$56</f>
        <v>65840</v>
      </c>
    </row>
    <row r="26" spans="1:7">
      <c r="A26" s="154" t="s">
        <v>280</v>
      </c>
      <c r="B26" s="150">
        <f>B11/IMF!$F$66</f>
        <v>1292810006.4516129</v>
      </c>
      <c r="C26" s="150">
        <f>C11/IMF!$F$66</f>
        <v>499888850</v>
      </c>
      <c r="E26" s="154" t="s">
        <v>280</v>
      </c>
      <c r="F26" s="150">
        <f>F11/IMF!$F$66</f>
        <v>77841.93548387097</v>
      </c>
      <c r="G26" s="150">
        <f>G11/IMF!$F$66</f>
        <v>81804.838709677424</v>
      </c>
    </row>
    <row r="27" spans="1:7">
      <c r="A27" s="154" t="s">
        <v>279</v>
      </c>
      <c r="B27" s="150">
        <f>(B12*Exch_rates!$C$5)/IMF!$F$69</f>
        <v>125346981.51758452</v>
      </c>
      <c r="C27" s="150">
        <f>(C12*Exch_rates!$C$5)/IMF!$F$69</f>
        <v>1298246.5983037432</v>
      </c>
      <c r="E27" s="154" t="s">
        <v>279</v>
      </c>
      <c r="F27" s="150">
        <f>(F12*Exch_rates!$C$5)/IMF!$F$69</f>
        <v>110945.85439330543</v>
      </c>
      <c r="G27" s="150">
        <f>(G12*Exch_rates!$C$5)/IMF!$F$69</f>
        <v>16903.968517471447</v>
      </c>
    </row>
    <row r="28" spans="1:7">
      <c r="A28" s="154" t="s">
        <v>278</v>
      </c>
      <c r="B28" s="150">
        <f>B13/IMF!$F$70</f>
        <v>33565108.325872876</v>
      </c>
      <c r="C28" s="150">
        <f>C13/IMF!$F$70</f>
        <v>17817281.110116385</v>
      </c>
      <c r="E28" s="154" t="s">
        <v>278</v>
      </c>
      <c r="F28" s="150">
        <f>F13/IMF!$F$70</f>
        <v>201592.65890778872</v>
      </c>
      <c r="G28" s="150">
        <f>G13/IMF!$F$70</f>
        <v>152284.69113697403</v>
      </c>
    </row>
  </sheetData>
  <mergeCells count="6">
    <mergeCell ref="E18:G18"/>
    <mergeCell ref="A3:C3"/>
    <mergeCell ref="A2:C2"/>
    <mergeCell ref="E2:G2"/>
    <mergeCell ref="E3:G3"/>
    <mergeCell ref="A18:C1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1D5A3-BF6D-744C-9739-997F1EE4E734}">
  <dimension ref="A2:H8"/>
  <sheetViews>
    <sheetView zoomScale="80" zoomScaleNormal="80" workbookViewId="0">
      <selection activeCell="G16" sqref="G16"/>
    </sheetView>
  </sheetViews>
  <sheetFormatPr defaultColWidth="11.19921875" defaultRowHeight="15.6"/>
  <cols>
    <col min="1" max="1" width="33.69921875" customWidth="1"/>
    <col min="2" max="2" width="22" customWidth="1"/>
    <col min="4" max="4" width="31.69921875" customWidth="1"/>
    <col min="5" max="5" width="24" customWidth="1"/>
    <col min="6" max="6" width="11.19921875" customWidth="1"/>
    <col min="7" max="7" width="34.296875" customWidth="1"/>
    <col min="8" max="8" width="24.296875" customWidth="1"/>
  </cols>
  <sheetData>
    <row r="2" spans="1:8">
      <c r="A2" s="625" t="s">
        <v>155</v>
      </c>
      <c r="B2" s="625"/>
      <c r="D2" s="625" t="s">
        <v>155</v>
      </c>
      <c r="E2" s="625"/>
      <c r="G2" s="620" t="s">
        <v>155</v>
      </c>
      <c r="H2" s="620"/>
    </row>
    <row r="3" spans="1:8" ht="70.05" customHeight="1">
      <c r="A3" s="167" t="s">
        <v>511</v>
      </c>
      <c r="B3" s="168">
        <f>2641184.55*1000000</f>
        <v>2641184550000</v>
      </c>
      <c r="D3" s="167" t="s">
        <v>512</v>
      </c>
      <c r="E3" s="168">
        <f>394.14*1000000</f>
        <v>394140000</v>
      </c>
      <c r="G3" s="115" t="s">
        <v>513</v>
      </c>
      <c r="H3" s="151">
        <f>1800.87*1000000</f>
        <v>1800870000</v>
      </c>
    </row>
    <row r="6" spans="1:8">
      <c r="A6" s="227"/>
      <c r="B6" s="226"/>
    </row>
    <row r="7" spans="1:8" ht="62.4">
      <c r="A7" s="167" t="s">
        <v>461</v>
      </c>
      <c r="D7" s="167" t="s">
        <v>514</v>
      </c>
      <c r="G7" s="115" t="s">
        <v>515</v>
      </c>
    </row>
    <row r="8" spans="1:8" ht="49.95" customHeight="1">
      <c r="A8" s="168">
        <f>B3/IMF!F17</f>
        <v>623067834394.90442</v>
      </c>
      <c r="D8" s="168">
        <f>E3/IMF!F17</f>
        <v>92979476.291578203</v>
      </c>
      <c r="G8" s="151">
        <f>H3/IMF!F17</f>
        <v>424833687.19037509</v>
      </c>
    </row>
  </sheetData>
  <mergeCells count="3">
    <mergeCell ref="A2:B2"/>
    <mergeCell ref="D2:E2"/>
    <mergeCell ref="G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EB01-30AE-9646-B093-59BCA242850B}">
  <dimension ref="A1:S178"/>
  <sheetViews>
    <sheetView topLeftCell="B1" zoomScale="80" zoomScaleNormal="80" workbookViewId="0">
      <selection activeCell="A11" sqref="A11:I11"/>
    </sheetView>
  </sheetViews>
  <sheetFormatPr defaultColWidth="10.796875" defaultRowHeight="15.6"/>
  <cols>
    <col min="1" max="1" width="20.19921875" style="34" customWidth="1"/>
    <col min="2" max="2" width="26.69921875" style="34" customWidth="1"/>
    <col min="3" max="3" width="28.5" style="34" customWidth="1"/>
    <col min="4" max="4" width="21.796875" style="40" customWidth="1"/>
    <col min="5" max="5" width="22.19921875" style="34" customWidth="1"/>
    <col min="6" max="6" width="26.69921875" style="34" customWidth="1"/>
    <col min="7" max="7" width="24.796875" style="34" customWidth="1"/>
    <col min="8" max="8" width="19.296875" style="34" customWidth="1"/>
    <col min="9" max="9" width="26.5" style="40" customWidth="1"/>
    <col min="10" max="10" width="21.19921875" style="34" customWidth="1"/>
    <col min="11" max="11" width="23.69921875" style="34" customWidth="1"/>
    <col min="12" max="12" width="20.19921875" style="34" customWidth="1"/>
    <col min="13" max="13" width="15.5" style="34" customWidth="1"/>
    <col min="14" max="14" width="8.69921875" style="34" customWidth="1"/>
    <col min="15" max="15" width="27.69921875" style="34" customWidth="1"/>
    <col min="16" max="16" width="19" style="34" customWidth="1"/>
    <col min="17" max="17" width="23.19921875" style="34" customWidth="1"/>
    <col min="18" max="18" width="25.296875" style="34" customWidth="1"/>
    <col min="19" max="19" width="22.5" style="34" customWidth="1"/>
    <col min="20" max="16384" width="10.796875" style="34"/>
  </cols>
  <sheetData>
    <row r="1" spans="1:19">
      <c r="D1" s="34"/>
      <c r="I1" s="34"/>
    </row>
    <row r="2" spans="1:19" ht="25.05" customHeight="1">
      <c r="A2" s="612" t="s">
        <v>155</v>
      </c>
      <c r="B2" s="612"/>
      <c r="C2" s="629"/>
      <c r="D2" s="158"/>
      <c r="E2" s="632" t="s">
        <v>155</v>
      </c>
      <c r="F2" s="636"/>
      <c r="G2" s="636"/>
      <c r="I2" s="34"/>
    </row>
    <row r="3" spans="1:19" ht="25.05" customHeight="1">
      <c r="A3" s="612" t="s">
        <v>378</v>
      </c>
      <c r="B3" s="612"/>
      <c r="C3" s="629"/>
      <c r="D3" s="158"/>
      <c r="E3" s="632" t="s">
        <v>160</v>
      </c>
      <c r="F3" s="636"/>
      <c r="G3" s="636"/>
      <c r="I3" s="637" t="s">
        <v>332</v>
      </c>
      <c r="J3" s="637"/>
    </row>
    <row r="4" spans="1:19" ht="25.05" customHeight="1">
      <c r="A4" s="131"/>
      <c r="B4" s="131" t="s">
        <v>9</v>
      </c>
      <c r="C4" s="157" t="s">
        <v>10</v>
      </c>
      <c r="D4" s="158"/>
      <c r="E4" s="159"/>
      <c r="F4" s="160" t="s">
        <v>9</v>
      </c>
      <c r="G4" s="160" t="s">
        <v>10</v>
      </c>
      <c r="I4" s="163" t="s">
        <v>474</v>
      </c>
      <c r="J4" s="229">
        <v>19864</v>
      </c>
    </row>
    <row r="5" spans="1:19" ht="25.05" customHeight="1">
      <c r="A5" s="131" t="s">
        <v>319</v>
      </c>
      <c r="B5" s="131">
        <v>121109476.3</v>
      </c>
      <c r="C5" s="157">
        <v>30631364.600000001</v>
      </c>
      <c r="D5" s="158"/>
      <c r="E5" s="159" t="s">
        <v>319</v>
      </c>
      <c r="F5" s="160">
        <v>456220319</v>
      </c>
      <c r="G5" s="160">
        <v>182870088.09999999</v>
      </c>
      <c r="I5" s="164" t="s">
        <v>475</v>
      </c>
      <c r="J5" s="229">
        <v>1711957</v>
      </c>
    </row>
    <row r="6" spans="1:19" ht="25.05" customHeight="1">
      <c r="A6" s="131" t="s">
        <v>320</v>
      </c>
      <c r="B6" s="131">
        <v>1105253710.0999999</v>
      </c>
      <c r="C6" s="157">
        <v>178014946.5</v>
      </c>
      <c r="D6" s="158"/>
      <c r="E6" s="159" t="s">
        <v>320</v>
      </c>
      <c r="F6" s="160">
        <v>1168893217.4000001</v>
      </c>
      <c r="G6" s="160">
        <v>310833606.60000002</v>
      </c>
      <c r="I6" s="34"/>
    </row>
    <row r="7" spans="1:19" ht="25.05" customHeight="1">
      <c r="A7" s="131" t="s">
        <v>321</v>
      </c>
      <c r="B7" s="131">
        <v>1971896429.2</v>
      </c>
      <c r="C7" s="157">
        <v>374751024</v>
      </c>
      <c r="D7" s="158"/>
      <c r="E7" s="159" t="s">
        <v>321</v>
      </c>
      <c r="F7" s="160">
        <v>880454512.10000002</v>
      </c>
      <c r="G7" s="160">
        <v>270017191.30000001</v>
      </c>
      <c r="I7" s="34"/>
    </row>
    <row r="8" spans="1:19">
      <c r="D8" s="34"/>
      <c r="I8" s="34"/>
    </row>
    <row r="9" spans="1:19">
      <c r="D9" s="34"/>
      <c r="I9" s="34"/>
    </row>
    <row r="10" spans="1:19" ht="16.05" customHeight="1">
      <c r="D10" s="34"/>
      <c r="I10" s="34"/>
    </row>
    <row r="11" spans="1:19" ht="22.95" customHeight="1">
      <c r="A11" s="626" t="s">
        <v>465</v>
      </c>
      <c r="B11" s="626"/>
      <c r="C11" s="626"/>
      <c r="D11" s="626"/>
      <c r="E11" s="626"/>
      <c r="F11" s="626"/>
      <c r="G11" s="626"/>
      <c r="H11" s="626"/>
      <c r="I11" s="626"/>
      <c r="J11" s="628" t="s">
        <v>333</v>
      </c>
      <c r="K11" s="628"/>
      <c r="L11" s="628"/>
      <c r="M11" s="628"/>
      <c r="N11" s="628"/>
      <c r="O11" s="628"/>
      <c r="P11" s="628"/>
      <c r="Q11" s="628"/>
      <c r="R11" s="628"/>
      <c r="S11" s="165"/>
    </row>
    <row r="12" spans="1:19" ht="60" customHeight="1">
      <c r="A12" s="131" t="s">
        <v>119</v>
      </c>
      <c r="B12" s="131" t="s">
        <v>115</v>
      </c>
      <c r="C12" s="151" t="s">
        <v>9</v>
      </c>
      <c r="D12" s="151" t="s">
        <v>10</v>
      </c>
      <c r="E12" s="151"/>
      <c r="F12" s="131" t="s">
        <v>128</v>
      </c>
      <c r="G12" s="131" t="s">
        <v>116</v>
      </c>
      <c r="H12" s="131" t="s">
        <v>9</v>
      </c>
      <c r="I12" s="131" t="s">
        <v>10</v>
      </c>
      <c r="J12" s="160" t="s">
        <v>119</v>
      </c>
      <c r="K12" s="160" t="s">
        <v>115</v>
      </c>
      <c r="L12" s="161" t="s">
        <v>9</v>
      </c>
      <c r="M12" s="161" t="s">
        <v>10</v>
      </c>
      <c r="N12" s="161"/>
      <c r="O12" s="160" t="s">
        <v>128</v>
      </c>
      <c r="P12" s="160" t="s">
        <v>116</v>
      </c>
      <c r="Q12" s="160" t="s">
        <v>9</v>
      </c>
      <c r="R12" s="160" t="s">
        <v>10</v>
      </c>
    </row>
    <row r="13" spans="1:19" ht="48" customHeight="1">
      <c r="A13" s="131" t="s">
        <v>120</v>
      </c>
      <c r="B13" s="131">
        <f>ROUND(9/15,2)</f>
        <v>0.6</v>
      </c>
      <c r="C13" s="151">
        <f>$B$6*B13</f>
        <v>663152226.05999994</v>
      </c>
      <c r="D13" s="151">
        <f>$C$6*B13</f>
        <v>106808967.89999999</v>
      </c>
      <c r="E13" s="151"/>
      <c r="F13" s="131" t="s">
        <v>123</v>
      </c>
      <c r="G13" s="131">
        <f>ROUND(14/15,2)</f>
        <v>0.93</v>
      </c>
      <c r="H13" s="131">
        <f>1971896429.2*G13</f>
        <v>1833863679.1560001</v>
      </c>
      <c r="I13" s="131">
        <f>374751024*G13</f>
        <v>348518452.31999999</v>
      </c>
      <c r="J13" s="160" t="s">
        <v>120</v>
      </c>
      <c r="K13" s="160">
        <f>ROUND(9/15,2)</f>
        <v>0.6</v>
      </c>
      <c r="L13" s="161">
        <f>$F$6*K13</f>
        <v>701335930.44000006</v>
      </c>
      <c r="M13" s="161">
        <f>$G$6*K13</f>
        <v>186500163.96000001</v>
      </c>
      <c r="N13" s="161"/>
      <c r="O13" s="160" t="s">
        <v>123</v>
      </c>
      <c r="P13" s="160">
        <f>ROUND(14/15,2)</f>
        <v>0.93</v>
      </c>
      <c r="Q13" s="160">
        <f>880454512.1*P13</f>
        <v>818822696.25300002</v>
      </c>
      <c r="R13" s="160">
        <f>270017191.3*P13</f>
        <v>251115987.90900004</v>
      </c>
    </row>
    <row r="14" spans="1:19" ht="31.2">
      <c r="A14" s="131" t="s">
        <v>121</v>
      </c>
      <c r="B14" s="131">
        <f>1-B13</f>
        <v>0.4</v>
      </c>
      <c r="C14" s="151">
        <f>$B$6*B14</f>
        <v>442101484.03999996</v>
      </c>
      <c r="D14" s="151">
        <f>$C$6*B14</f>
        <v>71205978.600000009</v>
      </c>
      <c r="E14" s="151"/>
      <c r="F14" s="151"/>
      <c r="G14" s="151"/>
      <c r="H14" s="151"/>
      <c r="I14" s="151"/>
      <c r="J14" s="160" t="s">
        <v>121</v>
      </c>
      <c r="K14" s="160">
        <f>1-K13</f>
        <v>0.4</v>
      </c>
      <c r="L14" s="161">
        <f>$F$6*K14</f>
        <v>467557286.96000004</v>
      </c>
      <c r="M14" s="161">
        <f>$G$6*K14</f>
        <v>124333442.64000002</v>
      </c>
      <c r="N14" s="161"/>
      <c r="O14" s="161"/>
      <c r="P14" s="161"/>
      <c r="Q14" s="161"/>
      <c r="R14" s="161"/>
    </row>
    <row r="15" spans="1:19">
      <c r="D15" s="34"/>
      <c r="F15" s="44"/>
      <c r="I15" s="34"/>
    </row>
    <row r="16" spans="1:19">
      <c r="D16" s="34"/>
      <c r="I16" s="34"/>
    </row>
    <row r="17" spans="1:11">
      <c r="D17" s="34"/>
      <c r="H17" s="44"/>
      <c r="I17" s="44"/>
    </row>
    <row r="18" spans="1:11" s="3" customFormat="1">
      <c r="A18" s="612" t="s">
        <v>324</v>
      </c>
      <c r="B18" s="612"/>
      <c r="C18" s="612"/>
      <c r="D18" s="23"/>
      <c r="E18" s="636" t="s">
        <v>324</v>
      </c>
      <c r="F18" s="636"/>
      <c r="G18" s="636"/>
    </row>
    <row r="19" spans="1:11" s="3" customFormat="1" ht="30" customHeight="1">
      <c r="A19" s="612" t="s">
        <v>465</v>
      </c>
      <c r="B19" s="612"/>
      <c r="C19" s="612"/>
      <c r="D19" s="23"/>
      <c r="E19" s="636" t="s">
        <v>333</v>
      </c>
      <c r="F19" s="636"/>
      <c r="G19" s="636"/>
    </row>
    <row r="20" spans="1:11" s="3" customFormat="1" ht="30" customHeight="1">
      <c r="A20" s="131"/>
      <c r="B20" s="131" t="s">
        <v>9</v>
      </c>
      <c r="C20" s="131" t="s">
        <v>10</v>
      </c>
      <c r="D20" s="23"/>
      <c r="E20" s="160"/>
      <c r="F20" s="160" t="s">
        <v>9</v>
      </c>
      <c r="G20" s="160" t="s">
        <v>10</v>
      </c>
    </row>
    <row r="21" spans="1:11" s="3" customFormat="1" ht="30" customHeight="1">
      <c r="A21" s="131" t="s">
        <v>11</v>
      </c>
      <c r="B21" s="131">
        <f>B5+C13</f>
        <v>784261702.3599999</v>
      </c>
      <c r="C21" s="131">
        <f>C5+D13</f>
        <v>137440332.5</v>
      </c>
      <c r="D21" s="23"/>
      <c r="E21" s="160" t="s">
        <v>11</v>
      </c>
      <c r="F21" s="160">
        <f>F5+L13</f>
        <v>1157556249.4400001</v>
      </c>
      <c r="G21" s="160">
        <f>G5+M13</f>
        <v>369370252.06</v>
      </c>
    </row>
    <row r="22" spans="1:11" s="3" customFormat="1" ht="30" customHeight="1">
      <c r="A22" s="131" t="s">
        <v>14</v>
      </c>
      <c r="B22" s="131">
        <f>C14+H13</f>
        <v>2275965163.1960001</v>
      </c>
      <c r="C22" s="131">
        <f>D14+I13</f>
        <v>419724430.92000002</v>
      </c>
      <c r="D22" s="23"/>
      <c r="E22" s="160" t="s">
        <v>14</v>
      </c>
      <c r="F22" s="160">
        <f>L14+Q13</f>
        <v>1286379983.2130001</v>
      </c>
      <c r="G22" s="160">
        <f>M14+R13</f>
        <v>375449430.54900002</v>
      </c>
    </row>
    <row r="23" spans="1:11" s="3" customFormat="1" ht="30" customHeight="1">
      <c r="A23" s="131" t="s">
        <v>12</v>
      </c>
      <c r="B23" s="629" t="s">
        <v>114</v>
      </c>
      <c r="C23" s="630"/>
      <c r="D23" s="23"/>
      <c r="E23" s="160" t="s">
        <v>12</v>
      </c>
      <c r="F23" s="631" t="s">
        <v>114</v>
      </c>
      <c r="G23" s="632"/>
    </row>
    <row r="24" spans="1:11" s="3" customFormat="1"/>
    <row r="25" spans="1:11" s="3" customFormat="1"/>
    <row r="26" spans="1:11" s="3" customFormat="1" ht="25.05" customHeight="1">
      <c r="A26" s="137"/>
      <c r="B26" s="137"/>
      <c r="C26" s="137"/>
      <c r="D26" s="137"/>
      <c r="E26" s="137"/>
      <c r="F26" s="137"/>
      <c r="G26" s="137"/>
    </row>
    <row r="27" spans="1:11" s="3" customFormat="1" ht="52.95" customHeight="1">
      <c r="A27" s="633" t="s">
        <v>464</v>
      </c>
      <c r="B27" s="633"/>
      <c r="C27" s="633"/>
      <c r="D27" s="42"/>
      <c r="E27" s="634" t="s">
        <v>463</v>
      </c>
      <c r="F27" s="634"/>
      <c r="G27" s="634"/>
      <c r="H27" s="42"/>
      <c r="I27" s="42"/>
      <c r="J27" s="42"/>
      <c r="K27" s="42"/>
    </row>
    <row r="28" spans="1:11" s="3" customFormat="1" ht="30" customHeight="1">
      <c r="A28" s="627"/>
      <c r="B28" s="627" t="s">
        <v>331</v>
      </c>
      <c r="C28" s="627"/>
      <c r="D28" s="42"/>
      <c r="E28" s="635"/>
      <c r="F28" s="635" t="s">
        <v>331</v>
      </c>
      <c r="G28" s="635"/>
      <c r="H28" s="42"/>
      <c r="I28" s="42"/>
      <c r="J28" s="42"/>
      <c r="K28" s="42"/>
    </row>
    <row r="29" spans="1:11" s="3" customFormat="1" ht="30" customHeight="1">
      <c r="A29" s="627"/>
      <c r="B29" s="118" t="s">
        <v>9</v>
      </c>
      <c r="C29" s="118" t="s">
        <v>10</v>
      </c>
      <c r="E29" s="635"/>
      <c r="F29" s="162" t="s">
        <v>9</v>
      </c>
      <c r="G29" s="162" t="s">
        <v>10</v>
      </c>
    </row>
    <row r="30" spans="1:11" s="3" customFormat="1" ht="30" customHeight="1">
      <c r="A30" s="118" t="s">
        <v>11</v>
      </c>
      <c r="B30" s="151">
        <f>(B21/(IMF!$C$35*IMF!$D$35))/IMF!$F$35</f>
        <v>31985763.046239831</v>
      </c>
      <c r="C30" s="151">
        <f>(C21/(IMF!$C$35*IMF!$D$35))/IMF!$F$35</f>
        <v>5605442.539285765</v>
      </c>
      <c r="D30" s="34"/>
      <c r="E30" s="162" t="s">
        <v>11</v>
      </c>
      <c r="F30" s="161">
        <f>(F21/(IMF!$C$35*IMF!$D$35))/IMF!$F$35</f>
        <v>47210414.324536502</v>
      </c>
      <c r="G30" s="161">
        <f>(G21/(IMF!$C$35*IMF!$D$35))/IMF!$F$35</f>
        <v>15064600.6596632</v>
      </c>
      <c r="H30" s="34"/>
      <c r="I30" s="34"/>
      <c r="J30" s="34"/>
      <c r="K30" s="34"/>
    </row>
    <row r="31" spans="1:11" s="3" customFormat="1" ht="30" customHeight="1">
      <c r="A31" s="118" t="s">
        <v>14</v>
      </c>
      <c r="B31" s="151">
        <f>(B22/(IMF!$C$35*IMF!$D$35))/IMF!$F$35</f>
        <v>92824222.058043465</v>
      </c>
      <c r="C31" s="151">
        <f>(C22/(IMF!$C$35*IMF!$D$35))/IMF!$F$35</f>
        <v>17118273.341316879</v>
      </c>
      <c r="D31" s="34"/>
      <c r="E31" s="162" t="s">
        <v>14</v>
      </c>
      <c r="F31" s="161">
        <f>(F22/(IMF!$C$35*IMF!$D$35))/IMF!$F$35</f>
        <v>52464432.735477112</v>
      </c>
      <c r="G31" s="161">
        <f>(G22/(IMF!$C$35*IMF!$D$35))/IMF!$F$35</f>
        <v>15312537.237568028</v>
      </c>
      <c r="H31" s="34"/>
      <c r="I31" s="34"/>
      <c r="J31" s="34"/>
      <c r="K31" s="34"/>
    </row>
    <row r="32" spans="1:11" s="3" customFormat="1" ht="39" customHeight="1">
      <c r="A32" s="118" t="s">
        <v>12</v>
      </c>
      <c r="B32" s="626" t="s">
        <v>114</v>
      </c>
      <c r="C32" s="626"/>
      <c r="D32" s="165"/>
      <c r="E32" s="162" t="s">
        <v>12</v>
      </c>
      <c r="F32" s="628" t="s">
        <v>114</v>
      </c>
      <c r="G32" s="628"/>
      <c r="H32" s="165"/>
      <c r="I32" s="165"/>
      <c r="J32" s="165"/>
      <c r="K32" s="165"/>
    </row>
    <row r="33" spans="1:9" s="3" customFormat="1" ht="34.049999999999997" customHeight="1"/>
    <row r="34" spans="1:9">
      <c r="A34" s="44"/>
      <c r="B34" s="44"/>
      <c r="C34" s="44"/>
      <c r="D34" s="44"/>
      <c r="F34" s="44"/>
      <c r="G34" s="44"/>
      <c r="H34" s="44"/>
      <c r="I34" s="44"/>
    </row>
    <row r="35" spans="1:9">
      <c r="A35" s="44"/>
      <c r="B35" s="44"/>
      <c r="C35" s="44"/>
      <c r="D35" s="44"/>
      <c r="F35" s="44"/>
      <c r="G35" s="44"/>
      <c r="H35" s="44"/>
      <c r="I35" s="44"/>
    </row>
    <row r="36" spans="1:9">
      <c r="A36" s="44"/>
      <c r="B36" s="44"/>
      <c r="C36" s="44"/>
      <c r="D36" s="44"/>
      <c r="F36" s="44"/>
      <c r="G36" s="44"/>
      <c r="H36" s="44"/>
      <c r="I36" s="44"/>
    </row>
    <row r="37" spans="1:9">
      <c r="A37" s="44"/>
      <c r="B37" s="44"/>
      <c r="C37" s="44"/>
      <c r="D37" s="44"/>
      <c r="F37" s="44"/>
      <c r="G37" s="44"/>
      <c r="H37" s="44"/>
      <c r="I37" s="44"/>
    </row>
    <row r="38" spans="1:9">
      <c r="A38" s="44"/>
      <c r="B38" s="44"/>
      <c r="C38" s="44"/>
      <c r="D38" s="44"/>
      <c r="F38" s="44"/>
      <c r="G38" s="44"/>
      <c r="H38" s="44"/>
      <c r="I38" s="44"/>
    </row>
    <row r="39" spans="1:9">
      <c r="A39" s="44"/>
      <c r="B39" s="44"/>
      <c r="C39" s="44"/>
      <c r="D39" s="44"/>
      <c r="F39" s="44"/>
      <c r="G39" s="44"/>
      <c r="H39" s="44"/>
      <c r="I39" s="44"/>
    </row>
    <row r="40" spans="1:9">
      <c r="A40" s="44"/>
      <c r="B40" s="44"/>
      <c r="C40" s="44"/>
      <c r="D40" s="44"/>
      <c r="F40" s="44"/>
      <c r="G40" s="44"/>
      <c r="H40" s="44"/>
      <c r="I40" s="44"/>
    </row>
    <row r="41" spans="1:9">
      <c r="A41" s="44"/>
      <c r="B41" s="44"/>
      <c r="C41" s="44"/>
      <c r="D41" s="44"/>
      <c r="F41" s="44"/>
      <c r="G41" s="44"/>
      <c r="H41" s="44"/>
      <c r="I41" s="44"/>
    </row>
    <row r="42" spans="1:9">
      <c r="A42" s="44"/>
      <c r="B42" s="44"/>
      <c r="C42" s="44"/>
      <c r="D42" s="44"/>
      <c r="F42" s="44"/>
      <c r="G42" s="44"/>
      <c r="H42" s="44"/>
      <c r="I42" s="44"/>
    </row>
    <row r="43" spans="1:9">
      <c r="A43" s="44"/>
      <c r="B43" s="44"/>
      <c r="C43" s="44"/>
      <c r="D43" s="44"/>
      <c r="F43" s="44"/>
      <c r="G43" s="44"/>
      <c r="H43" s="44"/>
      <c r="I43" s="44"/>
    </row>
    <row r="44" spans="1:9">
      <c r="A44" s="44"/>
      <c r="B44" s="44"/>
      <c r="C44" s="44"/>
      <c r="D44" s="44"/>
      <c r="F44" s="44"/>
      <c r="G44" s="44"/>
      <c r="H44" s="44"/>
      <c r="I44" s="44"/>
    </row>
    <row r="45" spans="1:9">
      <c r="A45" s="44"/>
      <c r="B45" s="44"/>
      <c r="C45" s="44"/>
      <c r="D45" s="44"/>
      <c r="I45" s="34"/>
    </row>
    <row r="46" spans="1:9">
      <c r="D46" s="34"/>
      <c r="I46" s="34"/>
    </row>
    <row r="47" spans="1:9">
      <c r="D47" s="34"/>
      <c r="I47" s="34"/>
    </row>
    <row r="48" spans="1:9">
      <c r="D48" s="34"/>
      <c r="I48" s="34"/>
    </row>
    <row r="49" s="34" customFormat="1"/>
    <row r="50" s="34" customFormat="1"/>
    <row r="51" s="34" customFormat="1"/>
    <row r="52" s="34" customFormat="1"/>
    <row r="53" s="34" customFormat="1"/>
    <row r="54" s="34" customFormat="1"/>
    <row r="55" s="34" customFormat="1"/>
    <row r="56" s="34" customFormat="1"/>
    <row r="57" s="34" customFormat="1"/>
    <row r="58" s="34" customFormat="1"/>
    <row r="59" s="34" customFormat="1"/>
    <row r="60" s="34" customFormat="1"/>
    <row r="61" s="34" customFormat="1"/>
    <row r="62" s="34" customFormat="1"/>
    <row r="63" s="34" customFormat="1"/>
    <row r="64" s="34" customFormat="1"/>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row r="97" s="34" customFormat="1"/>
    <row r="98" s="34" customFormat="1"/>
    <row r="99" s="34" customFormat="1"/>
    <row r="100" s="34" customFormat="1"/>
    <row r="101" s="34" customFormat="1"/>
    <row r="102" s="34" customFormat="1"/>
    <row r="103" s="34" customFormat="1"/>
    <row r="104" s="34" customFormat="1"/>
    <row r="105" s="34" customFormat="1"/>
    <row r="106" s="34" customFormat="1"/>
    <row r="107" s="34" customFormat="1"/>
    <row r="108" s="34" customFormat="1"/>
    <row r="109" s="34" customFormat="1"/>
    <row r="110" s="34" customFormat="1"/>
    <row r="111" s="34" customFormat="1"/>
    <row r="112" s="34" customFormat="1"/>
    <row r="113" s="34" customFormat="1"/>
    <row r="114" s="34" customFormat="1"/>
    <row r="115" s="34" customFormat="1"/>
    <row r="116" s="34" customFormat="1"/>
    <row r="117" s="34" customFormat="1"/>
    <row r="118" s="34" customFormat="1"/>
    <row r="119" s="34" customFormat="1"/>
    <row r="120" s="34" customFormat="1"/>
    <row r="121" s="34" customFormat="1"/>
    <row r="122" s="34" customFormat="1"/>
    <row r="123" s="34" customFormat="1"/>
    <row r="124" s="34" customFormat="1"/>
    <row r="125" s="34" customFormat="1"/>
    <row r="126" s="34" customFormat="1"/>
    <row r="127" s="34" customFormat="1"/>
    <row r="128" s="34" customFormat="1"/>
    <row r="129" s="34" customFormat="1"/>
    <row r="130" s="34" customFormat="1"/>
    <row r="131" s="34" customFormat="1"/>
    <row r="132" s="34" customFormat="1"/>
    <row r="133" s="34" customFormat="1"/>
    <row r="134" s="34" customFormat="1"/>
    <row r="135" s="34" customFormat="1"/>
    <row r="136" s="34" customFormat="1"/>
    <row r="137" s="34" customFormat="1"/>
    <row r="138" s="34" customFormat="1"/>
    <row r="139" s="34" customFormat="1"/>
    <row r="140" s="34" customFormat="1"/>
    <row r="141" s="34" customFormat="1"/>
    <row r="142" s="34" customFormat="1"/>
    <row r="143" s="34" customFormat="1"/>
    <row r="144" s="34" customFormat="1"/>
    <row r="145" s="34" customFormat="1"/>
    <row r="146" s="34" customFormat="1"/>
    <row r="147" s="34" customFormat="1"/>
    <row r="148" s="34" customFormat="1"/>
    <row r="149" s="34" customFormat="1"/>
    <row r="150" s="34" customFormat="1"/>
    <row r="151" s="34" customFormat="1"/>
    <row r="152" s="34" customFormat="1"/>
    <row r="153" s="34" customFormat="1"/>
    <row r="154" s="34" customFormat="1"/>
    <row r="155" s="34" customFormat="1"/>
    <row r="156" s="34" customFormat="1"/>
    <row r="157" s="34" customFormat="1"/>
    <row r="158" s="34" customFormat="1"/>
    <row r="159" s="34" customFormat="1"/>
    <row r="160" s="34" customFormat="1"/>
    <row r="161" s="34" customFormat="1"/>
    <row r="162" s="34" customFormat="1"/>
    <row r="163" s="34" customFormat="1"/>
    <row r="164" s="34" customFormat="1"/>
    <row r="165" s="34" customFormat="1"/>
    <row r="166" s="34" customFormat="1"/>
    <row r="167" s="34" customFormat="1"/>
    <row r="168" s="34" customFormat="1"/>
    <row r="169" s="34" customFormat="1"/>
    <row r="170" s="34" customFormat="1"/>
    <row r="171" s="34" customFormat="1"/>
    <row r="172" s="34" customFormat="1"/>
    <row r="173" s="34" customFormat="1"/>
    <row r="174" s="34" customFormat="1"/>
    <row r="175" s="34" customFormat="1"/>
    <row r="176" s="34" customFormat="1"/>
    <row r="177" s="34" customFormat="1"/>
    <row r="178" s="34" customFormat="1"/>
  </sheetData>
  <mergeCells count="21">
    <mergeCell ref="J11:R11"/>
    <mergeCell ref="A18:C18"/>
    <mergeCell ref="E18:G18"/>
    <mergeCell ref="A19:C19"/>
    <mergeCell ref="E19:G19"/>
    <mergeCell ref="A2:C2"/>
    <mergeCell ref="E2:G2"/>
    <mergeCell ref="A3:C3"/>
    <mergeCell ref="E3:G3"/>
    <mergeCell ref="I3:J3"/>
    <mergeCell ref="B32:C32"/>
    <mergeCell ref="A28:A29"/>
    <mergeCell ref="B28:C28"/>
    <mergeCell ref="A11:I11"/>
    <mergeCell ref="F32:G32"/>
    <mergeCell ref="B23:C23"/>
    <mergeCell ref="F23:G23"/>
    <mergeCell ref="A27:C27"/>
    <mergeCell ref="E27:G27"/>
    <mergeCell ref="E28:E29"/>
    <mergeCell ref="F28:G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AB4D-E1A4-BB4F-9EA6-CF992CAF25ED}">
  <dimension ref="A1:M370"/>
  <sheetViews>
    <sheetView zoomScale="80" zoomScaleNormal="80" workbookViewId="0">
      <selection activeCell="G14" sqref="G14"/>
    </sheetView>
  </sheetViews>
  <sheetFormatPr defaultColWidth="10.796875" defaultRowHeight="15.6"/>
  <cols>
    <col min="1" max="1" width="28.19921875" style="34" customWidth="1"/>
    <col min="2" max="2" width="21.5" style="34" customWidth="1"/>
    <col min="3" max="3" width="23.69921875" style="34" customWidth="1"/>
    <col min="4" max="4" width="17.5" style="40" customWidth="1"/>
    <col min="5" max="5" width="27.296875" style="34" customWidth="1"/>
    <col min="6" max="6" width="22.19921875" style="34" customWidth="1"/>
    <col min="7" max="7" width="24" style="34" customWidth="1"/>
    <col min="8" max="8" width="17" style="34" customWidth="1"/>
    <col min="9" max="9" width="26" style="40" customWidth="1"/>
    <col min="10" max="10" width="15" style="34" customWidth="1"/>
    <col min="11" max="16384" width="10.796875" style="34"/>
  </cols>
  <sheetData>
    <row r="1" spans="1:10">
      <c r="D1" s="34"/>
      <c r="I1" s="34"/>
    </row>
    <row r="2" spans="1:10" ht="25.05" customHeight="1">
      <c r="A2" s="627" t="s">
        <v>336</v>
      </c>
      <c r="B2" s="627"/>
      <c r="C2" s="627"/>
      <c r="D2" s="3"/>
      <c r="E2" s="635" t="s">
        <v>336</v>
      </c>
      <c r="F2" s="635"/>
      <c r="G2" s="635"/>
      <c r="I2" s="618" t="s">
        <v>332</v>
      </c>
      <c r="J2" s="618"/>
    </row>
    <row r="3" spans="1:10" ht="25.05" customHeight="1">
      <c r="A3" s="627" t="s">
        <v>466</v>
      </c>
      <c r="B3" s="627"/>
      <c r="C3" s="627"/>
      <c r="D3" s="3"/>
      <c r="E3" s="635" t="s">
        <v>346</v>
      </c>
      <c r="F3" s="635"/>
      <c r="G3" s="635"/>
      <c r="I3" s="171" t="s">
        <v>474</v>
      </c>
      <c r="J3" s="230">
        <v>1841</v>
      </c>
    </row>
    <row r="4" spans="1:10" ht="25.05" customHeight="1">
      <c r="A4" s="169"/>
      <c r="B4" s="118" t="s">
        <v>151</v>
      </c>
      <c r="C4" s="118" t="s">
        <v>152</v>
      </c>
      <c r="D4" s="3"/>
      <c r="E4" s="170"/>
      <c r="F4" s="162" t="s">
        <v>151</v>
      </c>
      <c r="G4" s="162" t="s">
        <v>152</v>
      </c>
      <c r="I4" s="172" t="s">
        <v>475</v>
      </c>
      <c r="J4" s="187">
        <v>44554</v>
      </c>
    </row>
    <row r="5" spans="1:10" ht="25.05" customHeight="1">
      <c r="A5" s="118" t="s">
        <v>339</v>
      </c>
      <c r="B5" s="151">
        <v>1625265.52</v>
      </c>
      <c r="C5" s="151">
        <v>439040.27</v>
      </c>
      <c r="D5" s="34"/>
      <c r="E5" s="162" t="s">
        <v>339</v>
      </c>
      <c r="F5" s="161">
        <v>102297314.03</v>
      </c>
      <c r="G5" s="161">
        <v>23652339.149999999</v>
      </c>
      <c r="I5" s="34"/>
    </row>
    <row r="6" spans="1:10" ht="25.05" customHeight="1">
      <c r="A6" s="118" t="s">
        <v>340</v>
      </c>
      <c r="B6" s="151">
        <v>19259902.219999999</v>
      </c>
      <c r="C6" s="151">
        <v>4298973.72</v>
      </c>
      <c r="D6" s="34"/>
      <c r="E6" s="162" t="s">
        <v>340</v>
      </c>
      <c r="F6" s="161">
        <v>886623358.12</v>
      </c>
      <c r="G6" s="161">
        <v>140085916.15000001</v>
      </c>
      <c r="I6" s="34"/>
    </row>
    <row r="7" spans="1:10" ht="25.05" customHeight="1">
      <c r="A7" s="118" t="s">
        <v>341</v>
      </c>
      <c r="B7" s="151">
        <v>53340135.18</v>
      </c>
      <c r="C7" s="151">
        <v>9872885.3399999999</v>
      </c>
      <c r="D7" s="34"/>
      <c r="E7" s="162" t="s">
        <v>341</v>
      </c>
      <c r="F7" s="161">
        <v>1831188038.5899999</v>
      </c>
      <c r="G7" s="161">
        <v>187207907.25999999</v>
      </c>
      <c r="I7" s="34"/>
    </row>
    <row r="8" spans="1:10" ht="25.05" customHeight="1">
      <c r="A8" s="151" t="s">
        <v>342</v>
      </c>
      <c r="B8" s="151">
        <v>114409861.84</v>
      </c>
      <c r="C8" s="151">
        <v>25214693.780000001</v>
      </c>
      <c r="D8" s="34"/>
      <c r="E8" s="161" t="s">
        <v>342</v>
      </c>
      <c r="F8" s="161">
        <v>1875906232.9200001</v>
      </c>
      <c r="G8" s="161">
        <v>243394778.33000001</v>
      </c>
      <c r="I8" s="34" t="s">
        <v>467</v>
      </c>
    </row>
    <row r="9" spans="1:10" ht="25.05" customHeight="1">
      <c r="A9" s="151" t="s">
        <v>343</v>
      </c>
      <c r="B9" s="151">
        <v>279048434.48000002</v>
      </c>
      <c r="C9" s="151">
        <v>51808021.93</v>
      </c>
      <c r="D9" s="34"/>
      <c r="E9" s="161" t="s">
        <v>343</v>
      </c>
      <c r="F9" s="161">
        <v>1788669340.3900001</v>
      </c>
      <c r="G9" s="161">
        <v>262987085.63999999</v>
      </c>
      <c r="I9" s="34"/>
    </row>
    <row r="10" spans="1:10" ht="25.05" customHeight="1">
      <c r="A10" s="151" t="s">
        <v>344</v>
      </c>
      <c r="B10" s="151">
        <v>837278167.58000004</v>
      </c>
      <c r="C10" s="151">
        <v>163427668.31</v>
      </c>
      <c r="D10" s="34"/>
      <c r="E10" s="161" t="s">
        <v>344</v>
      </c>
      <c r="F10" s="161">
        <v>2860063434.2399998</v>
      </c>
      <c r="G10" s="161">
        <v>541756862.02999997</v>
      </c>
      <c r="I10" s="34"/>
    </row>
    <row r="11" spans="1:10" ht="25.05" customHeight="1">
      <c r="A11" s="151" t="s">
        <v>345</v>
      </c>
      <c r="B11" s="151">
        <v>114596136.95</v>
      </c>
      <c r="C11" s="151">
        <v>23214211.949999999</v>
      </c>
      <c r="D11" s="34"/>
      <c r="E11" s="161" t="s">
        <v>345</v>
      </c>
      <c r="F11" s="161">
        <v>1703001999.97</v>
      </c>
      <c r="G11" s="161">
        <v>350660556.83999997</v>
      </c>
      <c r="I11" s="34"/>
    </row>
    <row r="12" spans="1:10">
      <c r="D12" s="34"/>
      <c r="I12" s="34"/>
    </row>
    <row r="13" spans="1:10">
      <c r="D13" s="34"/>
      <c r="I13" s="34"/>
    </row>
    <row r="14" spans="1:10">
      <c r="D14" s="34"/>
      <c r="I14" s="34"/>
    </row>
    <row r="15" spans="1:10">
      <c r="D15" s="34"/>
      <c r="I15" s="34"/>
    </row>
    <row r="16" spans="1:10">
      <c r="A16" s="626" t="s">
        <v>465</v>
      </c>
      <c r="B16" s="626"/>
      <c r="C16" s="626"/>
      <c r="D16" s="626"/>
      <c r="E16" s="628" t="s">
        <v>333</v>
      </c>
      <c r="F16" s="628"/>
      <c r="G16" s="628"/>
      <c r="H16" s="628"/>
      <c r="I16" s="165"/>
    </row>
    <row r="17" spans="1:9" ht="31.2">
      <c r="A17" s="131" t="s">
        <v>130</v>
      </c>
      <c r="B17" s="131" t="s">
        <v>115</v>
      </c>
      <c r="C17" s="151" t="s">
        <v>9</v>
      </c>
      <c r="D17" s="151" t="s">
        <v>10</v>
      </c>
      <c r="E17" s="160" t="s">
        <v>130</v>
      </c>
      <c r="F17" s="160" t="s">
        <v>115</v>
      </c>
      <c r="G17" s="161" t="s">
        <v>9</v>
      </c>
      <c r="H17" s="161" t="s">
        <v>10</v>
      </c>
      <c r="I17" s="34"/>
    </row>
    <row r="18" spans="1:9">
      <c r="A18" s="131" t="s">
        <v>131</v>
      </c>
      <c r="B18" s="131">
        <f>ROUND(4/5,2)</f>
        <v>0.8</v>
      </c>
      <c r="C18" s="151">
        <f>$B$9*B18</f>
        <v>223238747.58400002</v>
      </c>
      <c r="D18" s="151">
        <f>$C$9*B18</f>
        <v>41446417.544</v>
      </c>
      <c r="E18" s="160" t="s">
        <v>131</v>
      </c>
      <c r="F18" s="160">
        <f>ROUND(4/5,2)</f>
        <v>0.8</v>
      </c>
      <c r="G18" s="161">
        <f>$F$9*F18</f>
        <v>1430935472.3120003</v>
      </c>
      <c r="H18" s="161">
        <f>$G$9*F18</f>
        <v>210389668.51199999</v>
      </c>
      <c r="I18" s="34"/>
    </row>
    <row r="19" spans="1:9">
      <c r="A19" s="131" t="s">
        <v>132</v>
      </c>
      <c r="B19" s="131">
        <f>1-B18</f>
        <v>0.19999999999999996</v>
      </c>
      <c r="C19" s="151">
        <f>$B$9*B19</f>
        <v>55809686.89599999</v>
      </c>
      <c r="D19" s="151">
        <f>$C$9*B19</f>
        <v>10361604.385999998</v>
      </c>
      <c r="E19" s="160" t="s">
        <v>132</v>
      </c>
      <c r="F19" s="160">
        <f>1-F18</f>
        <v>0.19999999999999996</v>
      </c>
      <c r="G19" s="161">
        <f>$F$9*F19</f>
        <v>357733868.07799995</v>
      </c>
      <c r="H19" s="161">
        <f>262987085.64*F19</f>
        <v>52597417.127999984</v>
      </c>
      <c r="I19" s="34"/>
    </row>
    <row r="20" spans="1:9">
      <c r="D20" s="34"/>
      <c r="I20" s="34"/>
    </row>
    <row r="21" spans="1:9">
      <c r="D21" s="34"/>
      <c r="I21" s="34"/>
    </row>
    <row r="22" spans="1:9">
      <c r="A22" s="612" t="s">
        <v>324</v>
      </c>
      <c r="B22" s="612"/>
      <c r="C22" s="612"/>
      <c r="D22" s="23"/>
      <c r="E22" s="636" t="s">
        <v>324</v>
      </c>
      <c r="F22" s="636"/>
      <c r="G22" s="636"/>
      <c r="I22" s="34"/>
    </row>
    <row r="23" spans="1:9">
      <c r="A23" s="612" t="s">
        <v>465</v>
      </c>
      <c r="B23" s="612"/>
      <c r="C23" s="612"/>
      <c r="D23" s="23"/>
      <c r="E23" s="636" t="s">
        <v>333</v>
      </c>
      <c r="F23" s="636"/>
      <c r="G23" s="636"/>
      <c r="I23" s="34"/>
    </row>
    <row r="24" spans="1:9">
      <c r="A24" s="131"/>
      <c r="B24" s="131" t="s">
        <v>9</v>
      </c>
      <c r="C24" s="131" t="s">
        <v>10</v>
      </c>
      <c r="D24" s="23"/>
      <c r="E24" s="160"/>
      <c r="F24" s="160" t="s">
        <v>9</v>
      </c>
      <c r="G24" s="160" t="s">
        <v>10</v>
      </c>
      <c r="I24" s="34"/>
    </row>
    <row r="25" spans="1:9">
      <c r="A25" s="131" t="s">
        <v>11</v>
      </c>
      <c r="B25" s="131">
        <f>B5+B6+B7+B8+C18</f>
        <v>411873912.34399998</v>
      </c>
      <c r="C25" s="131">
        <f>C5+C6+C7+C8+D18</f>
        <v>81272010.653999999</v>
      </c>
      <c r="D25" s="23"/>
      <c r="E25" s="160" t="s">
        <v>11</v>
      </c>
      <c r="F25" s="160">
        <f>F5+F6+F7+F8+G18</f>
        <v>6126950415.9720001</v>
      </c>
      <c r="G25" s="160">
        <f>G5+G6+G7+G8+H18</f>
        <v>804730609.40199995</v>
      </c>
      <c r="I25" s="34"/>
    </row>
    <row r="26" spans="1:9">
      <c r="A26" s="131" t="s">
        <v>14</v>
      </c>
      <c r="B26" s="131">
        <f>C19+B10+B11</f>
        <v>1007683991.4260001</v>
      </c>
      <c r="C26" s="131">
        <f>D19+C10+C11</f>
        <v>197003484.646</v>
      </c>
      <c r="D26" s="23"/>
      <c r="E26" s="160" t="s">
        <v>14</v>
      </c>
      <c r="F26" s="160">
        <f>G19+F10+F11</f>
        <v>4920799302.2880001</v>
      </c>
      <c r="G26" s="160">
        <f>H19+G10+G11</f>
        <v>945014835.99799991</v>
      </c>
      <c r="I26" s="34"/>
    </row>
    <row r="27" spans="1:9">
      <c r="A27" s="131" t="s">
        <v>12</v>
      </c>
      <c r="B27" s="629" t="s">
        <v>114</v>
      </c>
      <c r="C27" s="630"/>
      <c r="D27" s="23"/>
      <c r="E27" s="160" t="s">
        <v>12</v>
      </c>
      <c r="F27" s="631" t="s">
        <v>114</v>
      </c>
      <c r="G27" s="632"/>
      <c r="I27" s="34"/>
    </row>
    <row r="28" spans="1:9">
      <c r="D28" s="34"/>
      <c r="I28" s="34"/>
    </row>
    <row r="29" spans="1:9">
      <c r="D29" s="34"/>
      <c r="I29" s="34"/>
    </row>
    <row r="30" spans="1:9">
      <c r="D30" s="34"/>
      <c r="I30" s="34"/>
    </row>
    <row r="31" spans="1:9">
      <c r="D31" s="34"/>
      <c r="I31" s="34"/>
    </row>
    <row r="32" spans="1:9" s="3" customFormat="1" ht="40.950000000000003" customHeight="1">
      <c r="A32" s="638"/>
      <c r="B32" s="633" t="s">
        <v>464</v>
      </c>
      <c r="C32" s="633"/>
      <c r="E32" s="640"/>
      <c r="F32" s="634" t="s">
        <v>468</v>
      </c>
      <c r="G32" s="634"/>
    </row>
    <row r="33" spans="1:13" s="3" customFormat="1" ht="30" customHeight="1">
      <c r="A33" s="639"/>
      <c r="B33" s="118" t="s">
        <v>9</v>
      </c>
      <c r="C33" s="118" t="s">
        <v>10</v>
      </c>
      <c r="E33" s="641"/>
      <c r="F33" s="162" t="s">
        <v>9</v>
      </c>
      <c r="G33" s="162" t="s">
        <v>10</v>
      </c>
    </row>
    <row r="34" spans="1:13" s="3" customFormat="1" ht="30" customHeight="1">
      <c r="A34" s="118" t="s">
        <v>11</v>
      </c>
      <c r="B34" s="151">
        <f>(B25/IMF!$C$35)/IMF!$F$35</f>
        <v>17917014.454246953</v>
      </c>
      <c r="C34" s="151">
        <f>(C25/IMF!$C$35)/IMF!$F$35</f>
        <v>3535430.9801423945</v>
      </c>
      <c r="D34" s="34"/>
      <c r="E34" s="162" t="s">
        <v>11</v>
      </c>
      <c r="F34" s="161">
        <f>(F25/IMF!$C$35)/IMF!$F$35</f>
        <v>266529770.09075165</v>
      </c>
      <c r="G34" s="161">
        <f>(G25/IMF!$C$35)/IMF!$F$35</f>
        <v>35006756.991174206</v>
      </c>
    </row>
    <row r="35" spans="1:13" s="3" customFormat="1" ht="30" customHeight="1">
      <c r="A35" s="118" t="s">
        <v>14</v>
      </c>
      <c r="B35" s="151">
        <f>(B26/IMF!$C$35)/IMF!$F$35</f>
        <v>43835475.126216553</v>
      </c>
      <c r="C35" s="151">
        <f>(C26/IMF!$C$35)/IMF!$F$35</f>
        <v>8569890.3867243677</v>
      </c>
      <c r="D35" s="34"/>
      <c r="E35" s="162" t="s">
        <v>14</v>
      </c>
      <c r="F35" s="161">
        <f>(F26/IMF!$C$35)/IMF!$F$35</f>
        <v>214060734.56748953</v>
      </c>
      <c r="G35" s="161">
        <f>(G26/IMF!$C$35)/IMF!$F$35</f>
        <v>41109290.898502901</v>
      </c>
    </row>
    <row r="36" spans="1:13" s="3" customFormat="1" ht="30" customHeight="1">
      <c r="A36" s="118" t="s">
        <v>12</v>
      </c>
      <c r="B36" s="642" t="s">
        <v>114</v>
      </c>
      <c r="C36" s="643"/>
      <c r="D36" s="34"/>
      <c r="E36" s="162" t="s">
        <v>12</v>
      </c>
      <c r="F36" s="644" t="s">
        <v>114</v>
      </c>
      <c r="G36" s="645"/>
    </row>
    <row r="37" spans="1:13" s="3" customFormat="1"/>
    <row r="38" spans="1:13" s="3" customFormat="1"/>
    <row r="39" spans="1:13" s="3" customFormat="1" ht="52.95" customHeight="1">
      <c r="H39" s="34"/>
      <c r="I39" s="34"/>
      <c r="J39" s="34"/>
      <c r="K39" s="34"/>
      <c r="L39" s="34"/>
      <c r="M39" s="34"/>
    </row>
    <row r="40" spans="1:13" s="3" customFormat="1" ht="30" customHeight="1">
      <c r="H40" s="34"/>
      <c r="I40" s="34"/>
      <c r="J40" s="34"/>
      <c r="K40" s="34"/>
      <c r="L40" s="34"/>
      <c r="M40" s="34"/>
    </row>
    <row r="41" spans="1:13" s="3" customFormat="1" ht="30" customHeight="1"/>
    <row r="42" spans="1:13" s="3" customFormat="1" ht="30" customHeight="1"/>
    <row r="43" spans="1:13" s="3" customFormat="1" ht="30" customHeight="1"/>
    <row r="44" spans="1:13" s="3" customFormat="1" ht="30" customHeight="1"/>
    <row r="45" spans="1:13" s="3" customFormat="1" ht="30" customHeight="1"/>
    <row r="46" spans="1:13" s="3" customFormat="1"/>
    <row r="47" spans="1:13" s="3" customFormat="1"/>
    <row r="48" spans="1:13" s="3" customFormat="1" ht="30" customHeight="1"/>
    <row r="49" spans="1:9" s="3" customFormat="1" ht="30" customHeight="1"/>
    <row r="50" spans="1:9" s="3" customFormat="1" ht="30" customHeight="1">
      <c r="D50" s="34"/>
      <c r="E50" s="34"/>
    </row>
    <row r="51" spans="1:9" s="3" customFormat="1" ht="30" customHeight="1">
      <c r="D51" s="34"/>
      <c r="E51" s="34"/>
    </row>
    <row r="52" spans="1:9" s="3" customFormat="1" ht="30" customHeight="1">
      <c r="D52" s="34"/>
      <c r="E52" s="34"/>
    </row>
    <row r="53" spans="1:9" s="3" customFormat="1"/>
    <row r="54" spans="1:9" s="3" customFormat="1"/>
    <row r="55" spans="1:9" s="3" customFormat="1" ht="30" customHeight="1"/>
    <row r="56" spans="1:9" s="3" customFormat="1" ht="30" customHeight="1"/>
    <row r="57" spans="1:9" s="3" customFormat="1" ht="30" customHeight="1">
      <c r="D57" s="34"/>
      <c r="E57" s="34"/>
    </row>
    <row r="58" spans="1:9" s="3" customFormat="1" ht="30" customHeight="1">
      <c r="D58" s="34"/>
      <c r="E58" s="34"/>
    </row>
    <row r="59" spans="1:9" s="3" customFormat="1" ht="30" customHeight="1">
      <c r="D59" s="34"/>
      <c r="E59" s="34"/>
    </row>
    <row r="60" spans="1:9" s="3" customFormat="1"/>
    <row r="61" spans="1:9" s="3" customFormat="1">
      <c r="A61" s="598" t="s">
        <v>192</v>
      </c>
      <c r="B61" s="598"/>
    </row>
    <row r="62" spans="1:9" s="3" customFormat="1">
      <c r="A62" s="598" t="s">
        <v>158</v>
      </c>
      <c r="B62" s="598"/>
      <c r="C62" s="598"/>
      <c r="D62" s="598"/>
    </row>
    <row r="63" spans="1:9" s="3" customFormat="1"/>
    <row r="64" spans="1:9">
      <c r="D64" s="34"/>
      <c r="I64" s="34"/>
    </row>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row r="97" s="34" customFormat="1"/>
    <row r="98" s="34" customFormat="1"/>
    <row r="99" s="34" customFormat="1"/>
    <row r="100" s="34" customFormat="1"/>
    <row r="101" s="34" customFormat="1"/>
    <row r="102" s="34" customFormat="1"/>
    <row r="103" s="34" customFormat="1"/>
    <row r="104" s="34" customFormat="1"/>
    <row r="105" s="34" customFormat="1"/>
    <row r="106" s="34" customFormat="1"/>
    <row r="107" s="34" customFormat="1"/>
    <row r="108" s="34" customFormat="1"/>
    <row r="109" s="34" customFormat="1"/>
    <row r="110" s="34" customFormat="1"/>
    <row r="111" s="34" customFormat="1"/>
    <row r="112" s="34" customFormat="1"/>
    <row r="113" s="34" customFormat="1"/>
    <row r="114" s="34" customFormat="1"/>
    <row r="115" s="34" customFormat="1"/>
    <row r="116" s="34" customFormat="1"/>
    <row r="117" s="34" customFormat="1"/>
    <row r="118" s="34" customFormat="1"/>
    <row r="119" s="34" customFormat="1"/>
    <row r="120" s="34" customFormat="1"/>
    <row r="121" s="34" customFormat="1"/>
    <row r="122" s="34" customFormat="1"/>
    <row r="123" s="34" customFormat="1"/>
    <row r="124" s="34" customFormat="1"/>
    <row r="125" s="34" customFormat="1"/>
    <row r="126" s="34" customFormat="1"/>
    <row r="127" s="34" customFormat="1"/>
    <row r="128" s="34" customFormat="1"/>
    <row r="129" s="34" customFormat="1"/>
    <row r="130" s="34" customFormat="1"/>
    <row r="131" s="34" customFormat="1"/>
    <row r="132" s="34" customFormat="1"/>
    <row r="133" s="34" customFormat="1"/>
    <row r="134" s="34" customFormat="1"/>
    <row r="135" s="34" customFormat="1"/>
    <row r="136" s="34" customFormat="1"/>
    <row r="137" s="34" customFormat="1"/>
    <row r="138" s="34" customFormat="1"/>
    <row r="139" s="34" customFormat="1"/>
    <row r="140" s="34" customFormat="1"/>
    <row r="141" s="34" customFormat="1"/>
    <row r="142" s="34" customFormat="1"/>
    <row r="143" s="34" customFormat="1"/>
    <row r="144" s="34" customFormat="1"/>
    <row r="145" s="34" customFormat="1"/>
    <row r="146" s="34" customFormat="1"/>
    <row r="147" s="34" customFormat="1"/>
    <row r="148" s="34" customFormat="1"/>
    <row r="149" s="34" customFormat="1"/>
    <row r="150" s="34" customFormat="1"/>
    <row r="151" s="34" customFormat="1"/>
    <row r="152" s="34" customFormat="1"/>
    <row r="153" s="34" customFormat="1"/>
    <row r="154" s="34" customFormat="1"/>
    <row r="155" s="34" customFormat="1"/>
    <row r="156" s="34" customFormat="1"/>
    <row r="157" s="34" customFormat="1"/>
    <row r="158" s="34" customFormat="1"/>
    <row r="159" s="34" customFormat="1"/>
    <row r="160" s="34" customFormat="1"/>
    <row r="161" s="34" customFormat="1"/>
    <row r="162" s="34" customFormat="1"/>
    <row r="163" s="34" customFormat="1"/>
    <row r="164" s="34" customFormat="1"/>
    <row r="165" s="34" customFormat="1"/>
    <row r="166" s="34" customFormat="1"/>
    <row r="167" s="34" customFormat="1"/>
    <row r="168" s="34" customFormat="1"/>
    <row r="169" s="34" customFormat="1"/>
    <row r="170" s="34" customFormat="1"/>
    <row r="171" s="34" customFormat="1"/>
    <row r="172" s="34" customFormat="1"/>
    <row r="173" s="34" customFormat="1"/>
    <row r="174" s="34" customFormat="1"/>
    <row r="175" s="34" customFormat="1"/>
    <row r="176" s="34" customFormat="1"/>
    <row r="177" s="34" customFormat="1"/>
    <row r="178" s="34" customFormat="1"/>
    <row r="179" s="34" customFormat="1"/>
    <row r="180" s="34" customFormat="1"/>
    <row r="181" s="34" customFormat="1"/>
    <row r="182" s="34" customFormat="1"/>
    <row r="183" s="34" customFormat="1"/>
    <row r="184" s="34" customFormat="1"/>
    <row r="185" s="34" customFormat="1"/>
    <row r="186" s="34" customFormat="1"/>
    <row r="187" s="34" customFormat="1"/>
    <row r="188" s="34" customFormat="1"/>
    <row r="189" s="34" customFormat="1"/>
    <row r="190" s="34" customFormat="1"/>
    <row r="191" s="34" customFormat="1"/>
    <row r="192" s="34" customFormat="1"/>
    <row r="193" s="34" customFormat="1"/>
    <row r="194" s="34" customFormat="1"/>
    <row r="195" s="34" customFormat="1"/>
    <row r="196" s="34" customFormat="1"/>
    <row r="197" s="34" customFormat="1"/>
    <row r="198" s="34" customFormat="1"/>
    <row r="199" s="34" customFormat="1"/>
    <row r="200" s="34" customFormat="1"/>
    <row r="201" s="34" customFormat="1"/>
    <row r="202" s="34" customFormat="1"/>
    <row r="203" s="34" customFormat="1"/>
    <row r="204" s="34" customFormat="1"/>
    <row r="205" s="34" customFormat="1"/>
    <row r="206" s="34" customFormat="1"/>
    <row r="207" s="34" customFormat="1"/>
    <row r="208" s="34" customFormat="1"/>
    <row r="209" s="34" customFormat="1"/>
    <row r="210" s="34" customFormat="1"/>
    <row r="211" s="34" customFormat="1"/>
    <row r="212" s="34" customFormat="1"/>
    <row r="213" s="34" customFormat="1"/>
    <row r="214" s="34" customFormat="1"/>
    <row r="215" s="34" customFormat="1"/>
    <row r="216" s="34" customFormat="1"/>
    <row r="217" s="34" customFormat="1"/>
    <row r="218" s="34" customFormat="1"/>
    <row r="219" s="34" customFormat="1"/>
    <row r="220" s="34" customFormat="1"/>
    <row r="221" s="34" customFormat="1"/>
    <row r="222" s="34" customFormat="1"/>
    <row r="223" s="34" customFormat="1"/>
    <row r="224" s="34" customFormat="1"/>
    <row r="225" s="34" customFormat="1"/>
    <row r="226" s="34" customFormat="1"/>
    <row r="227" s="34" customFormat="1"/>
    <row r="228" s="34" customFormat="1"/>
    <row r="229" s="34" customFormat="1"/>
    <row r="230" s="34" customFormat="1"/>
    <row r="231" s="34" customFormat="1"/>
    <row r="232" s="34" customFormat="1"/>
    <row r="233" s="34" customFormat="1"/>
    <row r="234" s="34" customFormat="1"/>
    <row r="235" s="34" customFormat="1"/>
    <row r="236" s="34" customFormat="1"/>
    <row r="237" s="34" customFormat="1"/>
    <row r="238" s="34" customFormat="1"/>
    <row r="239" s="34" customFormat="1"/>
    <row r="240" s="34" customFormat="1"/>
    <row r="241" s="34" customFormat="1"/>
    <row r="242" s="34" customFormat="1"/>
    <row r="243" s="34" customFormat="1"/>
    <row r="244" s="34" customFormat="1"/>
    <row r="245" s="34" customFormat="1"/>
    <row r="246" s="34" customFormat="1"/>
    <row r="247" s="34" customFormat="1"/>
    <row r="248" s="34" customFormat="1"/>
    <row r="249" s="34" customFormat="1"/>
    <row r="250" s="34" customFormat="1"/>
    <row r="251" s="34" customFormat="1"/>
    <row r="252" s="34" customFormat="1"/>
    <row r="253" s="34" customFormat="1"/>
    <row r="254" s="34" customFormat="1"/>
    <row r="255" s="34" customFormat="1"/>
    <row r="256" s="34" customFormat="1"/>
    <row r="257" s="34" customFormat="1"/>
    <row r="258" s="34" customFormat="1"/>
    <row r="259" s="34" customFormat="1"/>
    <row r="260" s="34" customFormat="1"/>
    <row r="261" s="34" customFormat="1"/>
    <row r="262" s="34" customFormat="1"/>
    <row r="263" s="34" customFormat="1"/>
    <row r="264" s="34" customFormat="1"/>
    <row r="265" s="34" customFormat="1"/>
    <row r="266" s="34" customFormat="1"/>
    <row r="267" s="34" customFormat="1"/>
    <row r="268" s="34" customFormat="1"/>
    <row r="269" s="34" customFormat="1"/>
    <row r="270" s="34" customFormat="1"/>
    <row r="271" s="34" customFormat="1"/>
    <row r="272" s="34" customFormat="1"/>
    <row r="273" s="34" customFormat="1"/>
    <row r="274" s="34" customFormat="1"/>
    <row r="275" s="34" customFormat="1"/>
    <row r="276" s="34" customFormat="1"/>
    <row r="277" s="34" customFormat="1"/>
    <row r="278" s="34" customFormat="1"/>
    <row r="279" s="34" customFormat="1"/>
    <row r="280" s="34" customFormat="1"/>
    <row r="281" s="34" customFormat="1"/>
    <row r="282" s="34" customFormat="1"/>
    <row r="283" s="34" customFormat="1"/>
    <row r="284" s="34" customFormat="1"/>
    <row r="285" s="34" customFormat="1"/>
    <row r="286" s="34" customFormat="1"/>
    <row r="287" s="34" customFormat="1"/>
    <row r="288" s="34" customFormat="1"/>
    <row r="289" s="34" customFormat="1"/>
    <row r="290" s="34" customFormat="1"/>
    <row r="291" s="34" customFormat="1"/>
    <row r="292" s="34" customFormat="1"/>
    <row r="293" s="34" customFormat="1"/>
    <row r="294" s="34" customFormat="1"/>
    <row r="295" s="34" customFormat="1"/>
    <row r="296" s="34" customFormat="1"/>
    <row r="297" s="34" customFormat="1"/>
    <row r="298" s="34" customFormat="1"/>
    <row r="299" s="34" customFormat="1"/>
    <row r="300" s="34" customFormat="1"/>
    <row r="301" s="34" customFormat="1"/>
    <row r="302" s="34" customFormat="1"/>
    <row r="303" s="34" customFormat="1"/>
    <row r="304" s="34" customFormat="1"/>
    <row r="305" s="34" customFormat="1"/>
    <row r="306" s="34" customFormat="1"/>
    <row r="307" s="34" customFormat="1"/>
    <row r="308" s="34" customFormat="1"/>
    <row r="309" s="34" customFormat="1"/>
    <row r="310" s="34" customFormat="1"/>
    <row r="311" s="34" customFormat="1"/>
    <row r="312" s="34" customFormat="1"/>
    <row r="313" s="34" customFormat="1"/>
    <row r="314" s="34" customFormat="1"/>
    <row r="315" s="34" customFormat="1"/>
    <row r="316" s="34" customFormat="1"/>
    <row r="317" s="34" customFormat="1"/>
    <row r="318" s="34" customFormat="1"/>
    <row r="319" s="34" customFormat="1"/>
    <row r="320" s="34" customFormat="1"/>
    <row r="321" s="34" customFormat="1"/>
    <row r="322" s="34" customFormat="1"/>
    <row r="323" s="34" customFormat="1"/>
    <row r="324" s="34" customFormat="1"/>
    <row r="325" s="34" customFormat="1"/>
    <row r="326" s="34" customFormat="1"/>
    <row r="327" s="34" customFormat="1"/>
    <row r="328" s="34" customFormat="1"/>
    <row r="329" s="34" customFormat="1"/>
    <row r="330" s="34" customFormat="1"/>
    <row r="331" s="34" customFormat="1"/>
    <row r="332" s="34" customFormat="1"/>
    <row r="333" s="34" customFormat="1"/>
    <row r="334" s="34" customFormat="1"/>
    <row r="335" s="34" customFormat="1"/>
    <row r="336" s="34" customFormat="1"/>
    <row r="337" s="34" customFormat="1"/>
    <row r="338" s="34" customFormat="1"/>
    <row r="339" s="34" customFormat="1"/>
    <row r="340" s="34" customFormat="1"/>
    <row r="341" s="34" customFormat="1"/>
    <row r="342" s="34" customFormat="1"/>
    <row r="343" s="34" customFormat="1"/>
    <row r="344" s="34" customFormat="1"/>
    <row r="345" s="34" customFormat="1"/>
    <row r="346" s="34" customFormat="1"/>
    <row r="347" s="34" customFormat="1"/>
    <row r="348" s="34" customFormat="1"/>
    <row r="349" s="34" customFormat="1"/>
    <row r="350" s="34" customFormat="1"/>
    <row r="351" s="34" customFormat="1"/>
    <row r="352" s="34" customFormat="1"/>
    <row r="353" s="34" customFormat="1"/>
    <row r="354" s="34" customFormat="1"/>
    <row r="355" s="34" customFormat="1"/>
    <row r="356" s="34" customFormat="1"/>
    <row r="357" s="34" customFormat="1"/>
    <row r="358" s="34" customFormat="1"/>
    <row r="359" s="34" customFormat="1"/>
    <row r="360" s="34" customFormat="1"/>
    <row r="361" s="34" customFormat="1"/>
    <row r="362" s="34" customFormat="1"/>
    <row r="363" s="34" customFormat="1"/>
    <row r="364" s="34" customFormat="1"/>
    <row r="365" s="34" customFormat="1"/>
    <row r="366" s="34" customFormat="1"/>
    <row r="367" s="34" customFormat="1"/>
    <row r="368" s="34" customFormat="1"/>
    <row r="369" s="34" customFormat="1"/>
    <row r="370" s="34" customFormat="1"/>
  </sheetData>
  <mergeCells count="21">
    <mergeCell ref="E22:G22"/>
    <mergeCell ref="A23:C23"/>
    <mergeCell ref="E23:G23"/>
    <mergeCell ref="B27:C27"/>
    <mergeCell ref="F27:G27"/>
    <mergeCell ref="I2:J2"/>
    <mergeCell ref="A62:D62"/>
    <mergeCell ref="A61:B61"/>
    <mergeCell ref="A16:D16"/>
    <mergeCell ref="A32:A33"/>
    <mergeCell ref="B32:C32"/>
    <mergeCell ref="E32:E33"/>
    <mergeCell ref="F32:G32"/>
    <mergeCell ref="A2:C2"/>
    <mergeCell ref="E2:G2"/>
    <mergeCell ref="A3:C3"/>
    <mergeCell ref="E3:G3"/>
    <mergeCell ref="E16:H16"/>
    <mergeCell ref="B36:C36"/>
    <mergeCell ref="F36:G36"/>
    <mergeCell ref="A22:C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8EC8-2232-3448-9478-B523080823E6}">
  <dimension ref="A1:G27"/>
  <sheetViews>
    <sheetView zoomScale="80" zoomScaleNormal="80" workbookViewId="0">
      <selection activeCell="E20" sqref="E20"/>
    </sheetView>
  </sheetViews>
  <sheetFormatPr defaultColWidth="10.796875" defaultRowHeight="15.6"/>
  <cols>
    <col min="1" max="1" width="29.796875" style="23" customWidth="1"/>
    <col min="2" max="2" width="23.296875" style="23" customWidth="1"/>
    <col min="3" max="3" width="21.296875" style="23" customWidth="1"/>
    <col min="4" max="4" width="19.69921875" style="23" customWidth="1"/>
    <col min="5" max="5" width="29.296875" style="23" customWidth="1"/>
    <col min="6" max="6" width="14.69921875" style="23" customWidth="1"/>
    <col min="7" max="7" width="35.796875" style="23" customWidth="1"/>
    <col min="8" max="8" width="17.296875" style="23" customWidth="1"/>
    <col min="9" max="16384" width="10.796875" style="23"/>
  </cols>
  <sheetData>
    <row r="1" spans="1:7" ht="16.05" customHeight="1"/>
    <row r="2" spans="1:7" ht="16.95" customHeight="1">
      <c r="A2" s="612" t="s">
        <v>155</v>
      </c>
      <c r="B2" s="612"/>
      <c r="D2" s="612" t="s">
        <v>155</v>
      </c>
      <c r="E2" s="612"/>
    </row>
    <row r="3" spans="1:7" ht="78" customHeight="1">
      <c r="A3" s="612" t="s">
        <v>355</v>
      </c>
      <c r="B3" s="612"/>
      <c r="D3" s="131" t="s">
        <v>356</v>
      </c>
      <c r="E3" s="131">
        <v>292889</v>
      </c>
    </row>
    <row r="4" spans="1:7">
      <c r="A4" s="131" t="s">
        <v>347</v>
      </c>
      <c r="B4" s="131">
        <v>18575864</v>
      </c>
    </row>
    <row r="5" spans="1:7">
      <c r="A5" s="173" t="s">
        <v>348</v>
      </c>
      <c r="B5" s="131">
        <v>9004370.2329999991</v>
      </c>
    </row>
    <row r="6" spans="1:7">
      <c r="A6" s="131" t="s">
        <v>349</v>
      </c>
      <c r="B6" s="131">
        <v>119577981</v>
      </c>
    </row>
    <row r="7" spans="1:7">
      <c r="A7" s="131" t="s">
        <v>350</v>
      </c>
      <c r="B7" s="131">
        <v>733821375</v>
      </c>
    </row>
    <row r="8" spans="1:7">
      <c r="A8" s="131" t="s">
        <v>351</v>
      </c>
      <c r="B8" s="131">
        <v>1669121217</v>
      </c>
    </row>
    <row r="9" spans="1:7">
      <c r="A9" s="131" t="s">
        <v>352</v>
      </c>
      <c r="B9" s="131">
        <v>3831328495</v>
      </c>
    </row>
    <row r="10" spans="1:7">
      <c r="A10" s="131" t="s">
        <v>353</v>
      </c>
      <c r="B10" s="131">
        <v>6950611068</v>
      </c>
    </row>
    <row r="11" spans="1:7">
      <c r="A11" s="131" t="s">
        <v>354</v>
      </c>
      <c r="B11" s="131">
        <v>6448250620</v>
      </c>
    </row>
    <row r="13" spans="1:7">
      <c r="E13" s="113"/>
    </row>
    <row r="14" spans="1:7" ht="16.05" customHeight="1"/>
    <row r="15" spans="1:7">
      <c r="A15" s="231"/>
      <c r="B15" s="231"/>
      <c r="C15" s="231"/>
      <c r="D15" s="231"/>
      <c r="E15" s="231"/>
      <c r="F15" s="231"/>
      <c r="G15" s="231"/>
    </row>
    <row r="16" spans="1:7">
      <c r="A16" s="612" t="s">
        <v>465</v>
      </c>
      <c r="B16" s="612"/>
      <c r="C16" s="612"/>
      <c r="D16" s="612"/>
      <c r="E16" s="612"/>
      <c r="F16" s="612"/>
      <c r="G16" s="612"/>
    </row>
    <row r="17" spans="1:7" ht="31.2">
      <c r="A17" s="131" t="s">
        <v>134</v>
      </c>
      <c r="B17" s="131" t="s">
        <v>116</v>
      </c>
      <c r="C17" s="131" t="s">
        <v>13</v>
      </c>
      <c r="D17" s="131"/>
      <c r="E17" s="131" t="s">
        <v>135</v>
      </c>
      <c r="F17" s="131" t="s">
        <v>116</v>
      </c>
      <c r="G17" s="131" t="s">
        <v>13</v>
      </c>
    </row>
    <row r="18" spans="1:7">
      <c r="A18" s="131" t="s">
        <v>126</v>
      </c>
      <c r="B18" s="131">
        <f>ROUND(5/10,2)</f>
        <v>0.5</v>
      </c>
      <c r="C18" s="131">
        <f>$B$8*B18</f>
        <v>834560608.5</v>
      </c>
      <c r="D18" s="131"/>
      <c r="E18" s="131" t="s">
        <v>126</v>
      </c>
      <c r="F18" s="131">
        <f>ROUND(5/10,2)</f>
        <v>0.5</v>
      </c>
      <c r="G18" s="131">
        <f>$B$10*F18</f>
        <v>3475305534</v>
      </c>
    </row>
    <row r="19" spans="1:7">
      <c r="A19" s="131" t="s">
        <v>126</v>
      </c>
      <c r="B19" s="131">
        <f>1-B18</f>
        <v>0.5</v>
      </c>
      <c r="C19" s="131">
        <f>$B$8*B19</f>
        <v>834560608.5</v>
      </c>
      <c r="D19" s="131"/>
      <c r="E19" s="131" t="s">
        <v>126</v>
      </c>
      <c r="F19" s="131">
        <f>1-F18</f>
        <v>0.5</v>
      </c>
      <c r="G19" s="131">
        <f>$B$10*F19</f>
        <v>3475305534</v>
      </c>
    </row>
    <row r="22" spans="1:7" ht="16.05" customHeight="1">
      <c r="A22" s="612" t="s">
        <v>324</v>
      </c>
      <c r="B22" s="612"/>
      <c r="C22" s="174"/>
    </row>
    <row r="23" spans="1:7" ht="16.05" customHeight="1">
      <c r="A23" s="612" t="s">
        <v>465</v>
      </c>
      <c r="B23" s="612"/>
      <c r="C23" s="174"/>
    </row>
    <row r="24" spans="1:7">
      <c r="A24" s="131"/>
      <c r="B24" s="131" t="s">
        <v>13</v>
      </c>
      <c r="C24" s="44"/>
    </row>
    <row r="25" spans="1:7">
      <c r="A25" s="131" t="s">
        <v>11</v>
      </c>
      <c r="B25" s="131">
        <f>B4+B5+B6+B7+C18</f>
        <v>1715540198.733</v>
      </c>
      <c r="C25" s="44"/>
    </row>
    <row r="26" spans="1:7">
      <c r="A26" s="131" t="s">
        <v>14</v>
      </c>
      <c r="B26" s="131">
        <f>C19+B9+G18</f>
        <v>8141194637.5</v>
      </c>
      <c r="C26" s="44"/>
    </row>
    <row r="27" spans="1:7">
      <c r="A27" s="131" t="s">
        <v>12</v>
      </c>
      <c r="B27" s="131">
        <f>G19+B11</f>
        <v>9923556154</v>
      </c>
      <c r="C27" s="44"/>
    </row>
  </sheetData>
  <mergeCells count="6">
    <mergeCell ref="A16:G16"/>
    <mergeCell ref="A22:B22"/>
    <mergeCell ref="A23:B23"/>
    <mergeCell ref="A3:B3"/>
    <mergeCell ref="A2:B2"/>
    <mergeCell ref="D2: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D2AC9-4A05-B149-8B99-C3EA43735684}">
  <dimension ref="A2:E20"/>
  <sheetViews>
    <sheetView zoomScale="80" zoomScaleNormal="80" workbookViewId="0">
      <selection activeCell="E19" sqref="E19"/>
    </sheetView>
  </sheetViews>
  <sheetFormatPr defaultColWidth="11.19921875" defaultRowHeight="15.6"/>
  <cols>
    <col min="1" max="1" width="21.69921875" customWidth="1"/>
    <col min="2" max="2" width="32.5" customWidth="1"/>
    <col min="4" max="4" width="24.5" customWidth="1"/>
    <col min="5" max="5" width="23.296875" customWidth="1"/>
  </cols>
  <sheetData>
    <row r="2" spans="1:5">
      <c r="A2" s="612" t="s">
        <v>155</v>
      </c>
      <c r="B2" s="612"/>
      <c r="C2" s="23"/>
      <c r="D2" s="612" t="s">
        <v>155</v>
      </c>
      <c r="E2" s="612"/>
    </row>
    <row r="3" spans="1:5" ht="46.8">
      <c r="A3" s="612" t="s">
        <v>355</v>
      </c>
      <c r="B3" s="612"/>
      <c r="C3" s="23"/>
      <c r="D3" s="131" t="s">
        <v>356</v>
      </c>
      <c r="E3" s="131">
        <v>470798</v>
      </c>
    </row>
    <row r="4" spans="1:5">
      <c r="A4" s="131" t="s">
        <v>364</v>
      </c>
      <c r="B4" s="131">
        <v>49879550</v>
      </c>
      <c r="C4" s="23"/>
      <c r="D4" s="23"/>
      <c r="E4" s="23"/>
    </row>
    <row r="5" spans="1:5">
      <c r="A5" s="173" t="s">
        <v>365</v>
      </c>
      <c r="B5" s="131">
        <v>48041112</v>
      </c>
      <c r="C5" s="23"/>
      <c r="D5" s="23"/>
      <c r="E5" s="23"/>
    </row>
    <row r="6" spans="1:5">
      <c r="A6" s="131" t="s">
        <v>366</v>
      </c>
      <c r="B6" s="131">
        <v>364563238</v>
      </c>
      <c r="C6" s="23"/>
      <c r="D6" s="23"/>
      <c r="E6" s="23"/>
    </row>
    <row r="7" spans="1:5">
      <c r="A7" s="131" t="s">
        <v>367</v>
      </c>
      <c r="B7" s="131">
        <v>887249607</v>
      </c>
      <c r="C7" s="23"/>
      <c r="D7" s="23"/>
      <c r="E7" s="23"/>
    </row>
    <row r="8" spans="1:5">
      <c r="A8" s="131" t="s">
        <v>337</v>
      </c>
      <c r="B8" s="131">
        <v>1832699077</v>
      </c>
      <c r="C8" s="23"/>
      <c r="D8" s="23"/>
      <c r="E8" s="23"/>
    </row>
    <row r="9" spans="1:5">
      <c r="A9" s="131" t="s">
        <v>338</v>
      </c>
      <c r="B9" s="131">
        <v>2495558629</v>
      </c>
      <c r="C9" s="23"/>
      <c r="D9" s="23"/>
      <c r="E9" s="23"/>
    </row>
    <row r="10" spans="1:5">
      <c r="A10" s="131" t="s">
        <v>368</v>
      </c>
      <c r="B10" s="131">
        <v>2396832677</v>
      </c>
      <c r="C10" s="23"/>
      <c r="D10" s="23"/>
      <c r="E10" s="23"/>
    </row>
    <row r="11" spans="1:5">
      <c r="A11" s="131" t="s">
        <v>369</v>
      </c>
      <c r="B11" s="131">
        <v>1554410222</v>
      </c>
      <c r="C11" s="23"/>
      <c r="D11" s="23"/>
      <c r="E11" s="23"/>
    </row>
    <row r="15" spans="1:5">
      <c r="A15" s="612" t="s">
        <v>324</v>
      </c>
      <c r="B15" s="612"/>
    </row>
    <row r="16" spans="1:5">
      <c r="A16" s="612" t="s">
        <v>465</v>
      </c>
      <c r="B16" s="612"/>
    </row>
    <row r="17" spans="1:4">
      <c r="A17" s="131"/>
      <c r="B17" s="131" t="s">
        <v>13</v>
      </c>
    </row>
    <row r="18" spans="1:4">
      <c r="A18" s="131" t="s">
        <v>11</v>
      </c>
      <c r="B18" s="131">
        <f>SUM(B4:B7)</f>
        <v>1349733507</v>
      </c>
      <c r="C18" s="48"/>
      <c r="D18" s="48"/>
    </row>
    <row r="19" spans="1:4">
      <c r="A19" s="131" t="s">
        <v>14</v>
      </c>
      <c r="B19" s="131">
        <f>SUM(B8:B9)</f>
        <v>4328257706</v>
      </c>
    </row>
    <row r="20" spans="1:4">
      <c r="A20" s="131" t="s">
        <v>12</v>
      </c>
      <c r="B20" s="131">
        <f>SUM(B10:B11)</f>
        <v>3951242899</v>
      </c>
    </row>
  </sheetData>
  <mergeCells count="5">
    <mergeCell ref="A2:B2"/>
    <mergeCell ref="D2:E2"/>
    <mergeCell ref="A3:B3"/>
    <mergeCell ref="A15:B15"/>
    <mergeCell ref="A16:B16"/>
  </mergeCells>
  <pageMargins left="0.7" right="0.7" top="0.75" bottom="0.75" header="0.3" footer="0.3"/>
  <ignoredErrors>
    <ignoredError sqref="B18:B20"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4176C-DB7F-804C-91A8-4D933119C8C0}">
  <dimension ref="A2:E19"/>
  <sheetViews>
    <sheetView zoomScale="80" zoomScaleNormal="80" workbookViewId="0">
      <selection activeCell="E18" sqref="E18"/>
    </sheetView>
  </sheetViews>
  <sheetFormatPr defaultColWidth="11.19921875" defaultRowHeight="15.6"/>
  <cols>
    <col min="1" max="1" width="21.69921875" customWidth="1"/>
    <col min="2" max="2" width="32.5" customWidth="1"/>
    <col min="4" max="4" width="28.296875" customWidth="1"/>
    <col min="5" max="5" width="30.69921875" customWidth="1"/>
  </cols>
  <sheetData>
    <row r="2" spans="1:5">
      <c r="A2" s="612" t="s">
        <v>155</v>
      </c>
      <c r="B2" s="612"/>
      <c r="C2" s="23"/>
      <c r="D2" s="612" t="s">
        <v>155</v>
      </c>
      <c r="E2" s="612"/>
    </row>
    <row r="3" spans="1:5" ht="82.95" customHeight="1">
      <c r="A3" s="612" t="s">
        <v>371</v>
      </c>
      <c r="B3" s="612"/>
      <c r="C3" s="23"/>
      <c r="D3" s="131" t="s">
        <v>377</v>
      </c>
      <c r="E3" s="131">
        <v>231217</v>
      </c>
    </row>
    <row r="4" spans="1:5">
      <c r="A4" s="173" t="s">
        <v>372</v>
      </c>
      <c r="B4" s="131">
        <v>1410028</v>
      </c>
      <c r="C4" s="23"/>
    </row>
    <row r="5" spans="1:5">
      <c r="A5" s="131" t="s">
        <v>366</v>
      </c>
      <c r="B5" s="131">
        <v>11764911</v>
      </c>
      <c r="C5" s="23"/>
    </row>
    <row r="6" spans="1:5">
      <c r="A6" s="131" t="s">
        <v>367</v>
      </c>
      <c r="B6" s="131">
        <v>18127188</v>
      </c>
      <c r="C6" s="23"/>
    </row>
    <row r="7" spans="1:5">
      <c r="A7" s="131" t="s">
        <v>337</v>
      </c>
      <c r="B7" s="131">
        <v>49486342</v>
      </c>
      <c r="C7" s="23"/>
    </row>
    <row r="8" spans="1:5">
      <c r="A8" s="131" t="s">
        <v>338</v>
      </c>
      <c r="B8" s="131">
        <v>179493390</v>
      </c>
      <c r="C8" s="23"/>
    </row>
    <row r="9" spans="1:5">
      <c r="A9" s="131" t="s">
        <v>368</v>
      </c>
      <c r="B9" s="131">
        <v>405214420</v>
      </c>
      <c r="C9" s="23"/>
    </row>
    <row r="10" spans="1:5">
      <c r="A10" s="131" t="s">
        <v>369</v>
      </c>
      <c r="B10" s="131">
        <v>527454241</v>
      </c>
      <c r="C10" s="23"/>
    </row>
    <row r="11" spans="1:5">
      <c r="A11" s="131" t="s">
        <v>373</v>
      </c>
      <c r="B11" s="131">
        <v>844070653</v>
      </c>
    </row>
    <row r="14" spans="1:5">
      <c r="A14" s="612" t="s">
        <v>324</v>
      </c>
      <c r="B14" s="612"/>
    </row>
    <row r="15" spans="1:5">
      <c r="A15" s="612" t="s">
        <v>465</v>
      </c>
      <c r="B15" s="612"/>
    </row>
    <row r="16" spans="1:5">
      <c r="A16" s="131"/>
      <c r="B16" s="131" t="s">
        <v>13</v>
      </c>
    </row>
    <row r="17" spans="1:3">
      <c r="A17" s="131" t="s">
        <v>11</v>
      </c>
      <c r="B17" s="131">
        <f>SUM(B4:B6)</f>
        <v>31302127</v>
      </c>
      <c r="C17" s="48"/>
    </row>
    <row r="18" spans="1:3">
      <c r="A18" s="131" t="s">
        <v>14</v>
      </c>
      <c r="B18" s="131">
        <f>SUM(B7:B8)</f>
        <v>228979732</v>
      </c>
    </row>
    <row r="19" spans="1:3">
      <c r="A19" s="131" t="s">
        <v>12</v>
      </c>
      <c r="B19" s="131">
        <f>SUM(B9:B11)</f>
        <v>1776739314</v>
      </c>
    </row>
  </sheetData>
  <mergeCells count="5">
    <mergeCell ref="A14:B14"/>
    <mergeCell ref="A15:B15"/>
    <mergeCell ref="A2:B2"/>
    <mergeCell ref="D2:E2"/>
    <mergeCell ref="A3:B3"/>
  </mergeCells>
  <pageMargins left="0.7" right="0.7" top="0.75" bottom="0.75" header="0.3" footer="0.3"/>
  <ignoredErrors>
    <ignoredError sqref="B17:B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7D0C-F2F8-4F3B-8CD3-D49CE5942386}">
  <dimension ref="A1:M12"/>
  <sheetViews>
    <sheetView zoomScale="90" zoomScaleNormal="90" workbookViewId="0">
      <selection activeCell="B17" sqref="B17"/>
    </sheetView>
  </sheetViews>
  <sheetFormatPr defaultRowHeight="15.6"/>
  <cols>
    <col min="1" max="1" width="13.19921875" customWidth="1"/>
    <col min="2" max="2" width="64.8984375" customWidth="1"/>
  </cols>
  <sheetData>
    <row r="1" spans="1:13" s="289" customFormat="1">
      <c r="A1" s="306" t="s">
        <v>568</v>
      </c>
      <c r="B1" s="306"/>
      <c r="C1" s="306"/>
      <c r="D1" s="306"/>
      <c r="E1" s="306"/>
      <c r="F1" s="306"/>
      <c r="G1" s="306"/>
      <c r="H1" s="306"/>
      <c r="I1" s="306"/>
      <c r="J1" s="306"/>
      <c r="K1" s="306"/>
      <c r="L1" s="306"/>
      <c r="M1" s="306"/>
    </row>
    <row r="2" spans="1:13" s="289" customFormat="1">
      <c r="A2" s="306"/>
      <c r="B2" s="306"/>
      <c r="C2" s="306"/>
      <c r="D2" s="306"/>
      <c r="E2" s="306"/>
      <c r="F2" s="306"/>
      <c r="G2" s="306"/>
      <c r="H2" s="306"/>
      <c r="I2" s="306"/>
      <c r="J2" s="306"/>
      <c r="K2" s="306"/>
      <c r="L2" s="306"/>
      <c r="M2" s="306"/>
    </row>
    <row r="3" spans="1:13" s="289" customFormat="1">
      <c r="A3" s="306"/>
      <c r="B3" s="306"/>
      <c r="C3" s="306"/>
      <c r="D3" s="306"/>
      <c r="E3" s="306"/>
      <c r="F3" s="306"/>
      <c r="G3" s="306"/>
      <c r="H3" s="306"/>
      <c r="I3" s="306"/>
      <c r="J3" s="306"/>
      <c r="K3" s="306"/>
      <c r="L3" s="306"/>
      <c r="M3" s="306"/>
    </row>
    <row r="4" spans="1:13" s="289" customFormat="1"/>
    <row r="5" spans="1:13">
      <c r="A5" s="53" t="s">
        <v>552</v>
      </c>
      <c r="B5" s="53" t="s">
        <v>553</v>
      </c>
    </row>
    <row r="6" spans="1:13" ht="46.8" customHeight="1">
      <c r="A6" s="296" t="s">
        <v>554</v>
      </c>
      <c r="B6" s="60" t="s">
        <v>565</v>
      </c>
    </row>
    <row r="7" spans="1:13">
      <c r="A7" s="296" t="s">
        <v>555</v>
      </c>
      <c r="B7" s="53" t="s">
        <v>556</v>
      </c>
    </row>
    <row r="8" spans="1:13">
      <c r="A8" s="296" t="s">
        <v>557</v>
      </c>
      <c r="B8" s="53" t="s">
        <v>558</v>
      </c>
    </row>
    <row r="9" spans="1:13">
      <c r="A9" s="296" t="s">
        <v>559</v>
      </c>
      <c r="B9" s="305" t="s">
        <v>561</v>
      </c>
    </row>
    <row r="10" spans="1:13">
      <c r="A10" s="296" t="s">
        <v>560</v>
      </c>
      <c r="B10" s="305"/>
    </row>
    <row r="11" spans="1:13">
      <c r="A11" s="296" t="s">
        <v>562</v>
      </c>
      <c r="B11" s="53" t="s">
        <v>563</v>
      </c>
    </row>
    <row r="12" spans="1:13" ht="46.8">
      <c r="A12" s="296" t="s">
        <v>564</v>
      </c>
      <c r="B12" s="60" t="s">
        <v>566</v>
      </c>
    </row>
  </sheetData>
  <mergeCells count="2">
    <mergeCell ref="B9:B10"/>
    <mergeCell ref="A1:M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6D2E-9E6A-5A4C-8A9C-75D691AA6C99}">
  <dimension ref="A1:G22"/>
  <sheetViews>
    <sheetView zoomScale="80" zoomScaleNormal="80" workbookViewId="0">
      <selection activeCell="A12" sqref="A12"/>
    </sheetView>
  </sheetViews>
  <sheetFormatPr defaultColWidth="10.796875" defaultRowHeight="15.6"/>
  <cols>
    <col min="1" max="1" width="29.796875" style="44" customWidth="1"/>
    <col min="2" max="2" width="26" style="44" customWidth="1"/>
    <col min="3" max="3" width="27.69921875" style="44" customWidth="1"/>
    <col min="4" max="4" width="25.5" style="44" customWidth="1"/>
    <col min="5" max="5" width="29.296875" style="44" customWidth="1"/>
    <col min="6" max="6" width="13.296875" style="44" customWidth="1"/>
    <col min="7" max="7" width="18.69921875" style="44" customWidth="1"/>
    <col min="8" max="16384" width="10.796875" style="44"/>
  </cols>
  <sheetData>
    <row r="1" spans="1:7" ht="16.05" customHeight="1"/>
    <row r="2" spans="1:7">
      <c r="A2" s="612" t="s">
        <v>155</v>
      </c>
      <c r="B2" s="612"/>
      <c r="D2" s="612" t="s">
        <v>155</v>
      </c>
      <c r="E2" s="612"/>
    </row>
    <row r="3" spans="1:7" ht="52.95" customHeight="1">
      <c r="A3" s="612" t="s">
        <v>355</v>
      </c>
      <c r="B3" s="612"/>
      <c r="D3" s="131" t="s">
        <v>356</v>
      </c>
      <c r="E3" s="131">
        <v>356203</v>
      </c>
    </row>
    <row r="4" spans="1:7" ht="28.95" customHeight="1">
      <c r="A4" s="173" t="s">
        <v>374</v>
      </c>
      <c r="B4" s="131">
        <v>584440699</v>
      </c>
    </row>
    <row r="5" spans="1:7" ht="34.049999999999997" customHeight="1">
      <c r="A5" s="131" t="s">
        <v>375</v>
      </c>
      <c r="B5" s="131">
        <v>256924436</v>
      </c>
    </row>
    <row r="6" spans="1:7" ht="37.049999999999997" customHeight="1">
      <c r="A6" s="131" t="s">
        <v>376</v>
      </c>
      <c r="B6" s="131">
        <v>82981659</v>
      </c>
    </row>
    <row r="11" spans="1:7">
      <c r="A11" s="612" t="s">
        <v>465</v>
      </c>
      <c r="B11" s="612"/>
      <c r="C11" s="612"/>
      <c r="D11" s="612"/>
      <c r="E11" s="612"/>
      <c r="F11" s="612"/>
      <c r="G11" s="612"/>
    </row>
    <row r="12" spans="1:7" ht="31.2">
      <c r="A12" s="131" t="s">
        <v>136</v>
      </c>
      <c r="B12" s="131" t="s">
        <v>115</v>
      </c>
      <c r="C12" s="131" t="s">
        <v>13</v>
      </c>
      <c r="D12" s="131"/>
      <c r="E12" s="131" t="s">
        <v>139</v>
      </c>
      <c r="F12" s="131" t="s">
        <v>116</v>
      </c>
      <c r="G12" s="131" t="s">
        <v>13</v>
      </c>
    </row>
    <row r="13" spans="1:7">
      <c r="A13" s="131" t="s">
        <v>137</v>
      </c>
      <c r="B13" s="131">
        <f>ROUND(15/25,2)</f>
        <v>0.6</v>
      </c>
      <c r="C13" s="131">
        <f>$B$4*B13</f>
        <v>350664419.39999998</v>
      </c>
      <c r="D13" s="131"/>
      <c r="E13" s="131" t="s">
        <v>140</v>
      </c>
      <c r="F13" s="131">
        <f>ROUND(10/15,2)</f>
        <v>0.67</v>
      </c>
      <c r="G13" s="131">
        <f>$B$5*F13</f>
        <v>172139372.12</v>
      </c>
    </row>
    <row r="14" spans="1:7">
      <c r="A14" s="131" t="s">
        <v>138</v>
      </c>
      <c r="B14" s="131">
        <f>1-B13</f>
        <v>0.4</v>
      </c>
      <c r="C14" s="131">
        <f>$B$4*B14</f>
        <v>233776279.60000002</v>
      </c>
      <c r="D14" s="131"/>
      <c r="E14" s="131" t="s">
        <v>133</v>
      </c>
      <c r="F14" s="131">
        <f>1-F13</f>
        <v>0.32999999999999996</v>
      </c>
      <c r="G14" s="131">
        <f>$B$5*F14</f>
        <v>84785063.879999995</v>
      </c>
    </row>
    <row r="17" spans="1:2">
      <c r="A17" s="612" t="s">
        <v>324</v>
      </c>
      <c r="B17" s="612"/>
    </row>
    <row r="18" spans="1:2">
      <c r="A18" s="612" t="s">
        <v>465</v>
      </c>
      <c r="B18" s="612"/>
    </row>
    <row r="19" spans="1:2">
      <c r="A19" s="131"/>
      <c r="B19" s="131" t="s">
        <v>13</v>
      </c>
    </row>
    <row r="20" spans="1:2">
      <c r="A20" s="131" t="s">
        <v>11</v>
      </c>
      <c r="B20" s="131">
        <f>C13</f>
        <v>350664419.39999998</v>
      </c>
    </row>
    <row r="21" spans="1:2">
      <c r="A21" s="131" t="s">
        <v>14</v>
      </c>
      <c r="B21" s="131">
        <f>C14+G13</f>
        <v>405915651.72000003</v>
      </c>
    </row>
    <row r="22" spans="1:2">
      <c r="A22" s="131" t="s">
        <v>12</v>
      </c>
      <c r="B22" s="131">
        <f>G14+B6</f>
        <v>167766722.88</v>
      </c>
    </row>
  </sheetData>
  <mergeCells count="6">
    <mergeCell ref="A17:B17"/>
    <mergeCell ref="A18:B18"/>
    <mergeCell ref="A11:G11"/>
    <mergeCell ref="A2:B2"/>
    <mergeCell ref="A3:B3"/>
    <mergeCell ref="D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BF07-4732-3849-B1D5-0B31578ED7B3}">
  <dimension ref="A2:E19"/>
  <sheetViews>
    <sheetView zoomScale="80" zoomScaleNormal="80" workbookViewId="0">
      <selection activeCell="E26" sqref="E26"/>
    </sheetView>
  </sheetViews>
  <sheetFormatPr defaultColWidth="11.19921875" defaultRowHeight="15.6"/>
  <cols>
    <col min="1" max="1" width="21.69921875" customWidth="1"/>
    <col min="2" max="2" width="32.5" customWidth="1"/>
    <col min="4" max="4" width="24.5" customWidth="1"/>
    <col min="5" max="5" width="23.296875" customWidth="1"/>
  </cols>
  <sheetData>
    <row r="2" spans="1:5">
      <c r="A2" s="612" t="s">
        <v>155</v>
      </c>
      <c r="B2" s="612"/>
      <c r="C2" s="23"/>
      <c r="D2" s="612" t="s">
        <v>155</v>
      </c>
      <c r="E2" s="612"/>
    </row>
    <row r="3" spans="1:5" ht="46.8">
      <c r="A3" s="612" t="s">
        <v>371</v>
      </c>
      <c r="B3" s="612"/>
      <c r="C3" s="23"/>
      <c r="D3" s="131" t="s">
        <v>377</v>
      </c>
      <c r="E3" s="131">
        <v>225104</v>
      </c>
    </row>
    <row r="4" spans="1:5">
      <c r="A4" s="173" t="s">
        <v>365</v>
      </c>
      <c r="B4" s="131">
        <v>12635106</v>
      </c>
      <c r="C4" s="23"/>
      <c r="D4" s="23"/>
      <c r="E4" s="23"/>
    </row>
    <row r="5" spans="1:5">
      <c r="A5" s="131" t="s">
        <v>366</v>
      </c>
      <c r="B5" s="131">
        <v>77606006</v>
      </c>
      <c r="C5" s="23"/>
      <c r="D5" s="23"/>
      <c r="E5" s="23"/>
    </row>
    <row r="6" spans="1:5">
      <c r="A6" s="131" t="s">
        <v>367</v>
      </c>
      <c r="B6" s="131">
        <v>199179559</v>
      </c>
      <c r="C6" s="23"/>
      <c r="D6" s="23"/>
      <c r="E6" s="23"/>
    </row>
    <row r="7" spans="1:5">
      <c r="A7" s="131" t="s">
        <v>337</v>
      </c>
      <c r="B7" s="131">
        <v>582921258</v>
      </c>
      <c r="C7" s="23"/>
      <c r="D7" s="23"/>
      <c r="E7" s="23"/>
    </row>
    <row r="8" spans="1:5">
      <c r="A8" s="131" t="s">
        <v>338</v>
      </c>
      <c r="B8" s="131">
        <v>1602159250</v>
      </c>
      <c r="C8" s="23"/>
      <c r="D8" s="23"/>
      <c r="E8" s="23"/>
    </row>
    <row r="9" spans="1:5">
      <c r="A9" s="131" t="s">
        <v>368</v>
      </c>
      <c r="B9" s="131">
        <v>2455405401</v>
      </c>
      <c r="C9" s="23"/>
      <c r="D9" s="23"/>
      <c r="E9" s="23"/>
    </row>
    <row r="10" spans="1:5">
      <c r="A10" s="131" t="s">
        <v>369</v>
      </c>
      <c r="B10" s="131">
        <v>2694780939</v>
      </c>
      <c r="C10" s="23"/>
      <c r="D10" s="23"/>
      <c r="E10" s="23"/>
    </row>
    <row r="11" spans="1:5">
      <c r="A11" s="131" t="s">
        <v>373</v>
      </c>
      <c r="B11" s="131">
        <v>2258738707</v>
      </c>
    </row>
    <row r="14" spans="1:5">
      <c r="A14" s="612" t="s">
        <v>324</v>
      </c>
      <c r="B14" s="612"/>
    </row>
    <row r="15" spans="1:5">
      <c r="A15" s="612" t="s">
        <v>465</v>
      </c>
      <c r="B15" s="612"/>
    </row>
    <row r="16" spans="1:5">
      <c r="A16" s="131"/>
      <c r="B16" s="131" t="s">
        <v>13</v>
      </c>
    </row>
    <row r="17" spans="1:4">
      <c r="A17" s="131" t="s">
        <v>11</v>
      </c>
      <c r="B17" s="131">
        <f>SUM(B4:B6)</f>
        <v>289420671</v>
      </c>
      <c r="C17" s="48"/>
      <c r="D17" s="48"/>
    </row>
    <row r="18" spans="1:4">
      <c r="A18" s="131" t="s">
        <v>14</v>
      </c>
      <c r="B18" s="131">
        <f>SUM(B7:B8)</f>
        <v>2185080508</v>
      </c>
    </row>
    <row r="19" spans="1:4">
      <c r="A19" s="131" t="s">
        <v>12</v>
      </c>
      <c r="B19" s="131">
        <f>SUM(B9:B11)</f>
        <v>7408925047</v>
      </c>
    </row>
  </sheetData>
  <mergeCells count="5">
    <mergeCell ref="A14:B14"/>
    <mergeCell ref="A15:B15"/>
    <mergeCell ref="A2:B2"/>
    <mergeCell ref="D2:E2"/>
    <mergeCell ref="A3:B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A955-57E7-434C-B7A8-E0D1388654A3}">
  <dimension ref="A2:E18"/>
  <sheetViews>
    <sheetView zoomScale="80" zoomScaleNormal="80" workbookViewId="0">
      <selection activeCell="G21" sqref="G21"/>
    </sheetView>
  </sheetViews>
  <sheetFormatPr defaultColWidth="11.19921875" defaultRowHeight="15.6"/>
  <cols>
    <col min="1" max="1" width="21.69921875" customWidth="1"/>
    <col min="2" max="2" width="32.5" customWidth="1"/>
    <col min="4" max="4" width="28.296875" customWidth="1"/>
    <col min="5" max="5" width="30.69921875" customWidth="1"/>
  </cols>
  <sheetData>
    <row r="2" spans="1:5">
      <c r="A2" s="612" t="s">
        <v>155</v>
      </c>
      <c r="B2" s="612"/>
      <c r="C2" s="23"/>
      <c r="D2" s="612" t="s">
        <v>155</v>
      </c>
      <c r="E2" s="612"/>
    </row>
    <row r="3" spans="1:5" ht="82.95" customHeight="1">
      <c r="A3" s="612" t="s">
        <v>378</v>
      </c>
      <c r="B3" s="612"/>
      <c r="C3" s="23"/>
      <c r="D3" s="131" t="s">
        <v>469</v>
      </c>
      <c r="E3" s="131">
        <v>167619</v>
      </c>
    </row>
    <row r="4" spans="1:5">
      <c r="A4" s="173" t="s">
        <v>364</v>
      </c>
      <c r="B4" s="131">
        <v>2984233</v>
      </c>
      <c r="C4" s="23"/>
    </row>
    <row r="5" spans="1:5">
      <c r="A5" s="173" t="s">
        <v>365</v>
      </c>
      <c r="B5" s="131">
        <v>4300165</v>
      </c>
      <c r="C5" s="23"/>
    </row>
    <row r="6" spans="1:5">
      <c r="A6" s="131" t="s">
        <v>366</v>
      </c>
      <c r="B6" s="131">
        <v>18962474</v>
      </c>
      <c r="C6" s="23"/>
    </row>
    <row r="7" spans="1:5">
      <c r="A7" s="131" t="s">
        <v>367</v>
      </c>
      <c r="B7" s="131">
        <v>37451777</v>
      </c>
      <c r="C7" s="23"/>
    </row>
    <row r="8" spans="1:5">
      <c r="A8" s="131" t="s">
        <v>337</v>
      </c>
      <c r="B8" s="131">
        <v>99525919</v>
      </c>
      <c r="C8" s="23"/>
    </row>
    <row r="9" spans="1:5">
      <c r="A9" s="131" t="s">
        <v>338</v>
      </c>
      <c r="B9" s="131">
        <v>353822336</v>
      </c>
      <c r="C9" s="23"/>
    </row>
    <row r="10" spans="1:5">
      <c r="A10" s="131" t="s">
        <v>368</v>
      </c>
      <c r="B10" s="131">
        <v>663378340</v>
      </c>
      <c r="C10" s="23"/>
    </row>
    <row r="11" spans="1:5">
      <c r="A11" s="131" t="s">
        <v>369</v>
      </c>
      <c r="B11" s="131">
        <v>736300315</v>
      </c>
    </row>
    <row r="13" spans="1:5">
      <c r="A13" s="612" t="s">
        <v>324</v>
      </c>
      <c r="B13" s="612"/>
    </row>
    <row r="14" spans="1:5">
      <c r="A14" s="612" t="s">
        <v>465</v>
      </c>
      <c r="B14" s="612"/>
    </row>
    <row r="15" spans="1:5">
      <c r="A15" s="131"/>
      <c r="B15" s="131" t="s">
        <v>13</v>
      </c>
    </row>
    <row r="16" spans="1:5">
      <c r="A16" s="131" t="s">
        <v>11</v>
      </c>
      <c r="B16" s="131">
        <f>SUM(B4:B7)</f>
        <v>63698649</v>
      </c>
      <c r="C16" s="48"/>
    </row>
    <row r="17" spans="1:2">
      <c r="A17" s="131" t="s">
        <v>14</v>
      </c>
      <c r="B17" s="131">
        <f>SUM(B8:B9)</f>
        <v>453348255</v>
      </c>
    </row>
    <row r="18" spans="1:2">
      <c r="A18" s="131" t="s">
        <v>12</v>
      </c>
      <c r="B18" s="131">
        <f>SUM(B10:B11)</f>
        <v>1399678655</v>
      </c>
    </row>
  </sheetData>
  <mergeCells count="5">
    <mergeCell ref="A13:B13"/>
    <mergeCell ref="A14:B14"/>
    <mergeCell ref="A2:B2"/>
    <mergeCell ref="D2:E2"/>
    <mergeCell ref="A3:B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2E25-D640-1F43-A3C8-EB7D3FD9E57C}">
  <dimension ref="A2:E18"/>
  <sheetViews>
    <sheetView zoomScale="80" zoomScaleNormal="80" workbookViewId="0">
      <selection activeCell="E20" sqref="E20"/>
    </sheetView>
  </sheetViews>
  <sheetFormatPr defaultColWidth="11.19921875" defaultRowHeight="15.6"/>
  <cols>
    <col min="1" max="1" width="21.69921875" customWidth="1"/>
    <col min="2" max="2" width="32.5" customWidth="1"/>
    <col min="4" max="4" width="24.5" customWidth="1"/>
    <col min="5" max="5" width="23.296875" customWidth="1"/>
  </cols>
  <sheetData>
    <row r="2" spans="1:5">
      <c r="A2" s="612" t="s">
        <v>155</v>
      </c>
      <c r="B2" s="612"/>
      <c r="C2" s="23"/>
      <c r="D2" s="612" t="s">
        <v>155</v>
      </c>
      <c r="E2" s="612"/>
    </row>
    <row r="3" spans="1:5" ht="46.8">
      <c r="A3" s="612" t="s">
        <v>371</v>
      </c>
      <c r="B3" s="612"/>
      <c r="C3" s="23"/>
      <c r="D3" s="131" t="s">
        <v>377</v>
      </c>
      <c r="E3" s="131">
        <v>103090</v>
      </c>
    </row>
    <row r="4" spans="1:5">
      <c r="A4" s="173" t="s">
        <v>365</v>
      </c>
      <c r="B4" s="131">
        <v>1852417</v>
      </c>
      <c r="C4" s="23"/>
      <c r="D4" s="23"/>
      <c r="E4" s="23"/>
    </row>
    <row r="5" spans="1:5">
      <c r="A5" s="131" t="s">
        <v>366</v>
      </c>
      <c r="B5" s="131">
        <v>12087042</v>
      </c>
      <c r="C5" s="23"/>
      <c r="D5" s="23"/>
      <c r="E5" s="23"/>
    </row>
    <row r="6" spans="1:5">
      <c r="A6" s="131" t="s">
        <v>367</v>
      </c>
      <c r="B6" s="131">
        <v>28040292</v>
      </c>
      <c r="C6" s="23"/>
      <c r="D6" s="23"/>
      <c r="E6" s="23"/>
    </row>
    <row r="7" spans="1:5">
      <c r="A7" s="131" t="s">
        <v>337</v>
      </c>
      <c r="B7" s="131">
        <v>50569305</v>
      </c>
      <c r="C7" s="23"/>
      <c r="D7" s="23"/>
      <c r="E7" s="23"/>
    </row>
    <row r="8" spans="1:5">
      <c r="A8" s="131" t="s">
        <v>338</v>
      </c>
      <c r="B8" s="131">
        <v>133337298</v>
      </c>
      <c r="C8" s="23"/>
      <c r="D8" s="23"/>
      <c r="E8" s="23"/>
    </row>
    <row r="9" spans="1:5">
      <c r="A9" s="131" t="s">
        <v>368</v>
      </c>
      <c r="B9" s="131">
        <v>190233715</v>
      </c>
      <c r="C9" s="23"/>
      <c r="D9" s="23"/>
      <c r="E9" s="23"/>
    </row>
    <row r="10" spans="1:5">
      <c r="A10" s="131" t="s">
        <v>369</v>
      </c>
      <c r="B10" s="131">
        <v>20154938</v>
      </c>
      <c r="C10" s="23"/>
      <c r="D10" s="23"/>
      <c r="E10" s="23"/>
    </row>
    <row r="13" spans="1:5">
      <c r="A13" s="612" t="s">
        <v>324</v>
      </c>
      <c r="B13" s="612"/>
    </row>
    <row r="14" spans="1:5">
      <c r="A14" s="612" t="s">
        <v>465</v>
      </c>
      <c r="B14" s="612"/>
    </row>
    <row r="15" spans="1:5">
      <c r="A15" s="131"/>
      <c r="B15" s="131" t="s">
        <v>13</v>
      </c>
    </row>
    <row r="16" spans="1:5">
      <c r="A16" s="131" t="s">
        <v>11</v>
      </c>
      <c r="B16" s="131">
        <f>SUM(B4:B6)</f>
        <v>41979751</v>
      </c>
      <c r="C16" s="48"/>
      <c r="D16" s="48"/>
    </row>
    <row r="17" spans="1:2">
      <c r="A17" s="131" t="s">
        <v>14</v>
      </c>
      <c r="B17" s="131">
        <f>SUM(B7:B8)</f>
        <v>183906603</v>
      </c>
    </row>
    <row r="18" spans="1:2">
      <c r="A18" s="131" t="s">
        <v>12</v>
      </c>
      <c r="B18" s="131">
        <f>SUM(B9:B10)</f>
        <v>210388653</v>
      </c>
    </row>
  </sheetData>
  <mergeCells count="5">
    <mergeCell ref="A13:B13"/>
    <mergeCell ref="A14:B14"/>
    <mergeCell ref="A2:B2"/>
    <mergeCell ref="D2:E2"/>
    <mergeCell ref="A3:B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62C48-3268-7A42-BEEE-E208EBF99966}">
  <dimension ref="A2:E18"/>
  <sheetViews>
    <sheetView zoomScale="80" zoomScaleNormal="80" workbookViewId="0">
      <selection activeCell="H25" sqref="H25"/>
    </sheetView>
  </sheetViews>
  <sheetFormatPr defaultColWidth="11.19921875" defaultRowHeight="15.6"/>
  <cols>
    <col min="1" max="1" width="21.69921875" customWidth="1"/>
    <col min="2" max="2" width="32.5" customWidth="1"/>
    <col min="4" max="4" width="24.5" customWidth="1"/>
    <col min="5" max="5" width="23.296875" customWidth="1"/>
  </cols>
  <sheetData>
    <row r="2" spans="1:5">
      <c r="A2" s="612" t="s">
        <v>155</v>
      </c>
      <c r="B2" s="612"/>
      <c r="C2" s="23"/>
      <c r="D2" s="612" t="s">
        <v>155</v>
      </c>
      <c r="E2" s="612"/>
    </row>
    <row r="3" spans="1:5" ht="46.8">
      <c r="A3" s="612" t="s">
        <v>371</v>
      </c>
      <c r="B3" s="612"/>
      <c r="C3" s="23"/>
      <c r="D3" s="131" t="s">
        <v>377</v>
      </c>
      <c r="E3" s="131">
        <v>228514</v>
      </c>
    </row>
    <row r="4" spans="1:5">
      <c r="A4" s="173" t="s">
        <v>365</v>
      </c>
      <c r="B4" s="131">
        <v>3743634</v>
      </c>
      <c r="C4" s="23"/>
      <c r="D4" s="23"/>
      <c r="E4" s="23"/>
    </row>
    <row r="5" spans="1:5">
      <c r="A5" s="131" t="s">
        <v>366</v>
      </c>
      <c r="B5" s="131">
        <v>24604939</v>
      </c>
      <c r="C5" s="23"/>
      <c r="D5" s="23"/>
      <c r="E5" s="23"/>
    </row>
    <row r="6" spans="1:5">
      <c r="A6" s="131" t="s">
        <v>367</v>
      </c>
      <c r="B6" s="131">
        <v>57738871</v>
      </c>
      <c r="C6" s="23"/>
      <c r="D6" s="23"/>
      <c r="E6" s="23"/>
    </row>
    <row r="7" spans="1:5">
      <c r="A7" s="131" t="s">
        <v>337</v>
      </c>
      <c r="B7" s="131">
        <v>106200936</v>
      </c>
      <c r="C7" s="23"/>
      <c r="D7" s="23"/>
      <c r="E7" s="23"/>
    </row>
    <row r="8" spans="1:5">
      <c r="A8" s="131" t="s">
        <v>338</v>
      </c>
      <c r="B8" s="131">
        <v>291172234</v>
      </c>
      <c r="C8" s="23"/>
      <c r="D8" s="23"/>
      <c r="E8" s="23"/>
    </row>
    <row r="9" spans="1:5">
      <c r="A9" s="131" t="s">
        <v>368</v>
      </c>
      <c r="B9" s="131">
        <v>461629419</v>
      </c>
      <c r="C9" s="23"/>
      <c r="D9" s="23"/>
      <c r="E9" s="23"/>
    </row>
    <row r="10" spans="1:5">
      <c r="A10" s="131" t="s">
        <v>369</v>
      </c>
      <c r="B10" s="131">
        <v>153379089</v>
      </c>
      <c r="C10" s="23"/>
      <c r="D10" s="23"/>
      <c r="E10" s="23"/>
    </row>
    <row r="13" spans="1:5">
      <c r="A13" s="612" t="s">
        <v>324</v>
      </c>
      <c r="B13" s="612"/>
    </row>
    <row r="14" spans="1:5">
      <c r="A14" s="612" t="s">
        <v>465</v>
      </c>
      <c r="B14" s="612"/>
    </row>
    <row r="15" spans="1:5">
      <c r="A15" s="131"/>
      <c r="B15" s="131" t="s">
        <v>13</v>
      </c>
    </row>
    <row r="16" spans="1:5">
      <c r="A16" s="131" t="s">
        <v>11</v>
      </c>
      <c r="B16" s="131">
        <f>SUM(B4:B6)</f>
        <v>86087444</v>
      </c>
      <c r="C16" s="48"/>
      <c r="D16" s="48"/>
    </row>
    <row r="17" spans="1:2">
      <c r="A17" s="131" t="s">
        <v>14</v>
      </c>
      <c r="B17" s="131">
        <f>SUM(B7:B8)</f>
        <v>397373170</v>
      </c>
    </row>
    <row r="18" spans="1:2">
      <c r="A18" s="131" t="s">
        <v>12</v>
      </c>
      <c r="B18" s="131">
        <f>SUM(B9:B10)</f>
        <v>615008508</v>
      </c>
    </row>
  </sheetData>
  <mergeCells count="5">
    <mergeCell ref="A13:B13"/>
    <mergeCell ref="A14:B14"/>
    <mergeCell ref="A2:B2"/>
    <mergeCell ref="D2:E2"/>
    <mergeCell ref="A3:B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1702-419D-8E4B-95ED-C31F4B3BE8C0}">
  <dimension ref="A2:E19"/>
  <sheetViews>
    <sheetView zoomScale="80" zoomScaleNormal="80" workbookViewId="0">
      <selection activeCell="F23" sqref="F23"/>
    </sheetView>
  </sheetViews>
  <sheetFormatPr defaultColWidth="11.19921875" defaultRowHeight="15.6"/>
  <cols>
    <col min="1" max="1" width="21.69921875" customWidth="1"/>
    <col min="2" max="2" width="32.5" customWidth="1"/>
    <col min="4" max="4" width="28.296875" customWidth="1"/>
    <col min="5" max="5" width="30.69921875" customWidth="1"/>
  </cols>
  <sheetData>
    <row r="2" spans="1:5">
      <c r="A2" s="612" t="s">
        <v>155</v>
      </c>
      <c r="B2" s="612"/>
      <c r="C2" s="23"/>
      <c r="D2" s="612" t="s">
        <v>155</v>
      </c>
      <c r="E2" s="612"/>
    </row>
    <row r="3" spans="1:5" ht="82.95" customHeight="1">
      <c r="A3" s="612" t="s">
        <v>378</v>
      </c>
      <c r="B3" s="612"/>
      <c r="C3" s="23"/>
      <c r="D3" s="131" t="s">
        <v>469</v>
      </c>
      <c r="E3" s="131">
        <v>369088</v>
      </c>
    </row>
    <row r="4" spans="1:5">
      <c r="A4" s="173" t="s">
        <v>364</v>
      </c>
      <c r="B4" s="131">
        <v>4556137</v>
      </c>
      <c r="C4" s="23"/>
    </row>
    <row r="5" spans="1:5">
      <c r="A5" s="173" t="s">
        <v>365</v>
      </c>
      <c r="B5" s="131">
        <v>0</v>
      </c>
      <c r="C5" s="23"/>
    </row>
    <row r="6" spans="1:5">
      <c r="A6" s="131" t="s">
        <v>366</v>
      </c>
      <c r="B6" s="131">
        <v>16700724</v>
      </c>
      <c r="C6" s="23"/>
    </row>
    <row r="7" spans="1:5">
      <c r="A7" s="131" t="s">
        <v>367</v>
      </c>
      <c r="B7" s="131">
        <v>65017378</v>
      </c>
      <c r="C7" s="23"/>
    </row>
    <row r="8" spans="1:5">
      <c r="A8" s="131" t="s">
        <v>337</v>
      </c>
      <c r="B8" s="131">
        <v>272868120</v>
      </c>
      <c r="C8" s="23"/>
    </row>
    <row r="9" spans="1:5">
      <c r="A9" s="131" t="s">
        <v>338</v>
      </c>
      <c r="B9" s="131">
        <v>911481326</v>
      </c>
      <c r="C9" s="23"/>
    </row>
    <row r="10" spans="1:5">
      <c r="A10" s="131" t="s">
        <v>368</v>
      </c>
      <c r="B10" s="131">
        <v>2009896320</v>
      </c>
      <c r="C10" s="23"/>
    </row>
    <row r="11" spans="1:5">
      <c r="A11" s="131" t="s">
        <v>379</v>
      </c>
      <c r="B11" s="131">
        <v>9789621184</v>
      </c>
    </row>
    <row r="12" spans="1:5">
      <c r="A12" s="44"/>
      <c r="B12" s="44"/>
    </row>
    <row r="14" spans="1:5">
      <c r="A14" s="612" t="s">
        <v>324</v>
      </c>
      <c r="B14" s="612"/>
    </row>
    <row r="15" spans="1:5">
      <c r="A15" s="612" t="s">
        <v>465</v>
      </c>
      <c r="B15" s="612"/>
    </row>
    <row r="16" spans="1:5">
      <c r="A16" s="131"/>
      <c r="B16" s="131" t="s">
        <v>13</v>
      </c>
    </row>
    <row r="17" spans="1:3">
      <c r="A17" s="131" t="s">
        <v>11</v>
      </c>
      <c r="B17" s="131">
        <f>SUM(B4:B7)</f>
        <v>86274239</v>
      </c>
      <c r="C17" s="48"/>
    </row>
    <row r="18" spans="1:3">
      <c r="A18" s="131" t="s">
        <v>14</v>
      </c>
      <c r="B18" s="131">
        <f>SUM(B8:B9)</f>
        <v>1184349446</v>
      </c>
    </row>
    <row r="19" spans="1:3">
      <c r="A19" s="131" t="s">
        <v>12</v>
      </c>
      <c r="B19" s="131">
        <f>SUM(B10:B11)</f>
        <v>11799517504</v>
      </c>
    </row>
  </sheetData>
  <mergeCells count="5">
    <mergeCell ref="A14:B14"/>
    <mergeCell ref="A15:B15"/>
    <mergeCell ref="A2:B2"/>
    <mergeCell ref="D2:E2"/>
    <mergeCell ref="A3:B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5497-2B6A-E34D-A6BD-0412085DBA47}">
  <dimension ref="A1:G24"/>
  <sheetViews>
    <sheetView zoomScale="80" zoomScaleNormal="80" workbookViewId="0">
      <selection activeCell="F18" sqref="F18"/>
    </sheetView>
  </sheetViews>
  <sheetFormatPr defaultColWidth="10.796875" defaultRowHeight="15.6"/>
  <cols>
    <col min="1" max="1" width="29.796875" style="44" customWidth="1"/>
    <col min="2" max="2" width="25.19921875" style="44" customWidth="1"/>
    <col min="3" max="3" width="26" style="44" customWidth="1"/>
    <col min="4" max="4" width="28.5" style="44" customWidth="1"/>
    <col min="5" max="5" width="29.296875" style="44" customWidth="1"/>
    <col min="6" max="6" width="13.296875" style="44" customWidth="1"/>
    <col min="7" max="7" width="18.69921875" style="44" customWidth="1"/>
    <col min="8" max="16384" width="10.796875" style="44"/>
  </cols>
  <sheetData>
    <row r="1" spans="1:7" ht="16.05" customHeight="1"/>
    <row r="3" spans="1:7">
      <c r="A3" s="612" t="s">
        <v>155</v>
      </c>
      <c r="B3" s="612"/>
      <c r="D3" s="612" t="s">
        <v>155</v>
      </c>
      <c r="E3" s="612"/>
    </row>
    <row r="4" spans="1:7" ht="64.95" customHeight="1">
      <c r="A4" s="612" t="s">
        <v>385</v>
      </c>
      <c r="B4" s="612"/>
      <c r="D4" s="131" t="s">
        <v>384</v>
      </c>
      <c r="E4" s="131">
        <v>339381</v>
      </c>
    </row>
    <row r="5" spans="1:7" ht="27" customHeight="1">
      <c r="A5" s="173" t="s">
        <v>380</v>
      </c>
      <c r="B5" s="131">
        <v>5019209</v>
      </c>
    </row>
    <row r="6" spans="1:7" ht="28.95" customHeight="1">
      <c r="A6" s="131" t="s">
        <v>381</v>
      </c>
      <c r="B6" s="131">
        <v>328190849</v>
      </c>
    </row>
    <row r="7" spans="1:7" ht="24" customHeight="1">
      <c r="A7" s="131" t="s">
        <v>382</v>
      </c>
      <c r="B7" s="131">
        <v>2254219824</v>
      </c>
    </row>
    <row r="8" spans="1:7" ht="21" customHeight="1">
      <c r="A8" s="131" t="s">
        <v>354</v>
      </c>
      <c r="B8" s="131">
        <v>2294579538</v>
      </c>
    </row>
    <row r="9" spans="1:7" ht="31.95" customHeight="1">
      <c r="A9" s="131" t="s">
        <v>383</v>
      </c>
      <c r="B9" s="131">
        <v>5610280774</v>
      </c>
    </row>
    <row r="13" spans="1:7">
      <c r="A13" s="612" t="s">
        <v>465</v>
      </c>
      <c r="B13" s="612"/>
      <c r="C13" s="612"/>
      <c r="D13" s="612"/>
      <c r="E13" s="612"/>
      <c r="F13" s="612"/>
      <c r="G13" s="612"/>
    </row>
    <row r="14" spans="1:7" ht="31.2">
      <c r="A14" s="131" t="s">
        <v>141</v>
      </c>
      <c r="B14" s="131" t="s">
        <v>115</v>
      </c>
      <c r="C14" s="131" t="s">
        <v>147</v>
      </c>
      <c r="D14" s="131"/>
      <c r="E14" s="131" t="s">
        <v>142</v>
      </c>
      <c r="F14" s="131" t="s">
        <v>116</v>
      </c>
      <c r="G14" s="131" t="s">
        <v>147</v>
      </c>
    </row>
    <row r="15" spans="1:7" ht="27" customHeight="1">
      <c r="A15" s="131" t="s">
        <v>143</v>
      </c>
      <c r="B15" s="131">
        <f>ROUND(25/30,2)</f>
        <v>0.83</v>
      </c>
      <c r="C15" s="131">
        <f>$B$6*B15</f>
        <v>272398404.66999996</v>
      </c>
      <c r="D15" s="131"/>
      <c r="E15" s="131" t="s">
        <v>145</v>
      </c>
      <c r="F15" s="131">
        <f>ROUND(15/20,2)</f>
        <v>0.75</v>
      </c>
      <c r="G15" s="131">
        <f>$B$7*F15</f>
        <v>1690664868</v>
      </c>
    </row>
    <row r="16" spans="1:7" ht="30" customHeight="1">
      <c r="A16" s="131" t="s">
        <v>144</v>
      </c>
      <c r="B16" s="131">
        <f>1-B15</f>
        <v>0.17000000000000004</v>
      </c>
      <c r="C16" s="131">
        <f>$B$6*B16</f>
        <v>55792444.330000013</v>
      </c>
      <c r="D16" s="131"/>
      <c r="E16" s="131" t="s">
        <v>146</v>
      </c>
      <c r="F16" s="131">
        <f>1-F15</f>
        <v>0.25</v>
      </c>
      <c r="G16" s="131">
        <f>$B$7*F16</f>
        <v>563554956</v>
      </c>
    </row>
    <row r="19" spans="1:2">
      <c r="A19" s="612" t="s">
        <v>324</v>
      </c>
      <c r="B19" s="612"/>
    </row>
    <row r="20" spans="1:2">
      <c r="A20" s="612" t="s">
        <v>465</v>
      </c>
      <c r="B20" s="612"/>
    </row>
    <row r="21" spans="1:2">
      <c r="A21" s="131"/>
      <c r="B21" s="131" t="s">
        <v>13</v>
      </c>
    </row>
    <row r="22" spans="1:2">
      <c r="A22" s="131" t="s">
        <v>11</v>
      </c>
      <c r="B22" s="131">
        <f>B5+C15</f>
        <v>277417613.66999996</v>
      </c>
    </row>
    <row r="23" spans="1:2">
      <c r="A23" s="131" t="s">
        <v>14</v>
      </c>
      <c r="B23" s="131">
        <f>C16+G15</f>
        <v>1746457312.3299999</v>
      </c>
    </row>
    <row r="24" spans="1:2">
      <c r="A24" s="131" t="s">
        <v>12</v>
      </c>
      <c r="B24" s="131">
        <f>G16+B8+B9</f>
        <v>8468415268</v>
      </c>
    </row>
  </sheetData>
  <mergeCells count="6">
    <mergeCell ref="A19:B19"/>
    <mergeCell ref="A20:B20"/>
    <mergeCell ref="A13:G13"/>
    <mergeCell ref="A3:B3"/>
    <mergeCell ref="D3:E3"/>
    <mergeCell ref="A4:B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10FF0-FF29-7B4D-B7F2-0B99D6E1B7E5}">
  <dimension ref="A2:E18"/>
  <sheetViews>
    <sheetView zoomScale="80" zoomScaleNormal="80" workbookViewId="0">
      <selection activeCell="F25" sqref="F25"/>
    </sheetView>
  </sheetViews>
  <sheetFormatPr defaultColWidth="11.19921875" defaultRowHeight="15.6"/>
  <cols>
    <col min="1" max="1" width="21.69921875" customWidth="1"/>
    <col min="2" max="2" width="32.5" customWidth="1"/>
    <col min="4" max="4" width="28.296875" customWidth="1"/>
    <col min="5" max="5" width="30.69921875" customWidth="1"/>
  </cols>
  <sheetData>
    <row r="2" spans="1:5">
      <c r="A2" s="612" t="s">
        <v>155</v>
      </c>
      <c r="B2" s="612"/>
      <c r="C2" s="23"/>
      <c r="D2" s="612" t="s">
        <v>155</v>
      </c>
      <c r="E2" s="612"/>
    </row>
    <row r="3" spans="1:5" ht="82.95" customHeight="1">
      <c r="A3" s="612" t="s">
        <v>355</v>
      </c>
      <c r="B3" s="612"/>
      <c r="C3" s="23"/>
      <c r="D3" s="131" t="s">
        <v>356</v>
      </c>
      <c r="E3" s="131">
        <v>99629</v>
      </c>
    </row>
    <row r="4" spans="1:5">
      <c r="A4" s="173" t="s">
        <v>365</v>
      </c>
      <c r="B4" s="131">
        <v>15247453</v>
      </c>
      <c r="C4" s="23"/>
    </row>
    <row r="5" spans="1:5">
      <c r="A5" s="131" t="s">
        <v>366</v>
      </c>
      <c r="B5" s="131">
        <v>99489788</v>
      </c>
      <c r="C5" s="23"/>
    </row>
    <row r="6" spans="1:5">
      <c r="A6" s="131" t="s">
        <v>367</v>
      </c>
      <c r="B6" s="131">
        <v>230802765</v>
      </c>
      <c r="C6" s="23"/>
    </row>
    <row r="7" spans="1:5">
      <c r="A7" s="131" t="s">
        <v>337</v>
      </c>
      <c r="B7" s="131">
        <v>416241582</v>
      </c>
      <c r="C7" s="23"/>
    </row>
    <row r="8" spans="1:5">
      <c r="A8" s="131" t="s">
        <v>338</v>
      </c>
      <c r="B8" s="131">
        <v>1097514150</v>
      </c>
      <c r="C8" s="23"/>
    </row>
    <row r="9" spans="1:5">
      <c r="A9" s="131" t="s">
        <v>368</v>
      </c>
      <c r="B9" s="131">
        <v>1565834889</v>
      </c>
      <c r="C9" s="23"/>
    </row>
    <row r="10" spans="1:5">
      <c r="A10" s="131" t="s">
        <v>369</v>
      </c>
      <c r="B10" s="131">
        <v>165897536</v>
      </c>
    </row>
    <row r="11" spans="1:5">
      <c r="A11" s="44"/>
      <c r="B11" s="44"/>
    </row>
    <row r="13" spans="1:5">
      <c r="A13" s="612" t="s">
        <v>324</v>
      </c>
      <c r="B13" s="612"/>
    </row>
    <row r="14" spans="1:5">
      <c r="A14" s="612" t="s">
        <v>465</v>
      </c>
      <c r="B14" s="612"/>
    </row>
    <row r="15" spans="1:5">
      <c r="A15" s="131"/>
      <c r="B15" s="131" t="s">
        <v>13</v>
      </c>
    </row>
    <row r="16" spans="1:5">
      <c r="A16" s="131" t="s">
        <v>11</v>
      </c>
      <c r="B16" s="131">
        <f>SUM(B4:B6)</f>
        <v>345540006</v>
      </c>
      <c r="C16" s="48"/>
    </row>
    <row r="17" spans="1:2">
      <c r="A17" s="131" t="s">
        <v>14</v>
      </c>
      <c r="B17" s="131">
        <f>SUM(B7:B8)</f>
        <v>1513755732</v>
      </c>
    </row>
    <row r="18" spans="1:2">
      <c r="A18" s="131" t="s">
        <v>12</v>
      </c>
      <c r="B18" s="131">
        <f>SUM(B9:B10)</f>
        <v>1731732425</v>
      </c>
    </row>
  </sheetData>
  <mergeCells count="5">
    <mergeCell ref="A13:B13"/>
    <mergeCell ref="A14:B14"/>
    <mergeCell ref="A2:B2"/>
    <mergeCell ref="D2:E2"/>
    <mergeCell ref="A3:B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67964-B475-9747-8415-2EDE95C57249}">
  <dimension ref="A2:E19"/>
  <sheetViews>
    <sheetView zoomScale="80" zoomScaleNormal="80" workbookViewId="0">
      <selection activeCell="D21" sqref="D21"/>
    </sheetView>
  </sheetViews>
  <sheetFormatPr defaultColWidth="11.19921875" defaultRowHeight="15.6"/>
  <cols>
    <col min="1" max="1" width="21.69921875" customWidth="1"/>
    <col min="2" max="2" width="32.5" customWidth="1"/>
    <col min="4" max="4" width="28.296875" customWidth="1"/>
    <col min="5" max="5" width="30.69921875" customWidth="1"/>
  </cols>
  <sheetData>
    <row r="2" spans="1:5">
      <c r="A2" s="612" t="s">
        <v>155</v>
      </c>
      <c r="B2" s="612"/>
      <c r="C2" s="23"/>
      <c r="D2" s="612" t="s">
        <v>155</v>
      </c>
      <c r="E2" s="612"/>
    </row>
    <row r="3" spans="1:5" ht="82.95" customHeight="1">
      <c r="A3" s="612" t="s">
        <v>387</v>
      </c>
      <c r="B3" s="612"/>
      <c r="C3" s="23"/>
      <c r="D3" s="131" t="s">
        <v>386</v>
      </c>
      <c r="E3" s="131">
        <v>286973</v>
      </c>
    </row>
    <row r="4" spans="1:5">
      <c r="A4" s="131" t="s">
        <v>366</v>
      </c>
      <c r="B4" s="131">
        <v>2335625</v>
      </c>
      <c r="C4" s="23"/>
    </row>
    <row r="5" spans="1:5">
      <c r="A5" s="131" t="s">
        <v>367</v>
      </c>
      <c r="B5" s="131">
        <v>6531418</v>
      </c>
      <c r="C5" s="23"/>
    </row>
    <row r="6" spans="1:5">
      <c r="A6" s="131" t="s">
        <v>337</v>
      </c>
      <c r="B6" s="131">
        <v>16695261</v>
      </c>
      <c r="C6" s="23"/>
    </row>
    <row r="7" spans="1:5">
      <c r="A7" s="131" t="s">
        <v>338</v>
      </c>
      <c r="B7" s="131">
        <v>42786605</v>
      </c>
      <c r="C7" s="23"/>
    </row>
    <row r="8" spans="1:5">
      <c r="A8" s="131" t="s">
        <v>368</v>
      </c>
      <c r="B8" s="131">
        <v>99577973</v>
      </c>
      <c r="C8" s="23"/>
    </row>
    <row r="9" spans="1:5">
      <c r="A9" s="131" t="s">
        <v>369</v>
      </c>
      <c r="B9" s="131">
        <v>156411369</v>
      </c>
    </row>
    <row r="10" spans="1:5">
      <c r="A10" s="131" t="s">
        <v>373</v>
      </c>
      <c r="B10" s="131">
        <v>172125047</v>
      </c>
    </row>
    <row r="11" spans="1:5">
      <c r="A11" s="44"/>
      <c r="B11" s="44"/>
    </row>
    <row r="12" spans="1:5">
      <c r="A12" s="44"/>
      <c r="B12" s="44"/>
    </row>
    <row r="14" spans="1:5">
      <c r="A14" s="612" t="s">
        <v>324</v>
      </c>
      <c r="B14" s="612"/>
    </row>
    <row r="15" spans="1:5">
      <c r="A15" s="612" t="s">
        <v>465</v>
      </c>
      <c r="B15" s="612"/>
    </row>
    <row r="16" spans="1:5">
      <c r="A16" s="131"/>
      <c r="B16" s="131" t="s">
        <v>13</v>
      </c>
    </row>
    <row r="17" spans="1:3">
      <c r="A17" s="131" t="s">
        <v>11</v>
      </c>
      <c r="B17" s="131">
        <f>SUM(B4:B5)</f>
        <v>8867043</v>
      </c>
      <c r="C17" s="48"/>
    </row>
    <row r="18" spans="1:3">
      <c r="A18" s="131" t="s">
        <v>14</v>
      </c>
      <c r="B18" s="131">
        <f>SUM(B6:B7)</f>
        <v>59481866</v>
      </c>
    </row>
    <row r="19" spans="1:3">
      <c r="A19" s="131" t="s">
        <v>12</v>
      </c>
      <c r="B19" s="131">
        <f>SUM(B8:B10)</f>
        <v>428114389</v>
      </c>
    </row>
  </sheetData>
  <mergeCells count="5">
    <mergeCell ref="A14:B14"/>
    <mergeCell ref="A15:B15"/>
    <mergeCell ref="A2:B2"/>
    <mergeCell ref="D2:E2"/>
    <mergeCell ref="A3:B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7DF27-FCD0-F645-A91A-16AE251D22E5}">
  <dimension ref="A2:C57"/>
  <sheetViews>
    <sheetView zoomScale="80" zoomScaleNormal="80" workbookViewId="0">
      <selection activeCell="B30" sqref="B30"/>
    </sheetView>
  </sheetViews>
  <sheetFormatPr defaultColWidth="11.19921875" defaultRowHeight="15.6"/>
  <cols>
    <col min="1" max="1" width="27.296875" customWidth="1"/>
    <col min="2" max="2" width="32.5" customWidth="1"/>
    <col min="3" max="3" width="33.19921875" customWidth="1"/>
  </cols>
  <sheetData>
    <row r="2" spans="1:3">
      <c r="A2" s="620" t="s">
        <v>155</v>
      </c>
      <c r="B2" s="620"/>
      <c r="C2" s="620"/>
    </row>
    <row r="3" spans="1:3" ht="31.2">
      <c r="A3" s="115"/>
      <c r="B3" s="115" t="s">
        <v>355</v>
      </c>
      <c r="C3" s="115" t="s">
        <v>356</v>
      </c>
    </row>
    <row r="4" spans="1:3">
      <c r="A4" s="182" t="s">
        <v>270</v>
      </c>
      <c r="B4" s="131">
        <v>245299956</v>
      </c>
      <c r="C4" s="131">
        <v>202727</v>
      </c>
    </row>
    <row r="5" spans="1:3">
      <c r="A5" s="182" t="s">
        <v>269</v>
      </c>
      <c r="B5" s="131">
        <v>2020078</v>
      </c>
      <c r="C5" s="131">
        <v>38848</v>
      </c>
    </row>
    <row r="6" spans="1:3">
      <c r="A6" s="182" t="s">
        <v>268</v>
      </c>
      <c r="B6" s="131">
        <v>643835</v>
      </c>
      <c r="C6" s="131">
        <v>17884</v>
      </c>
    </row>
    <row r="7" spans="1:3">
      <c r="A7" s="182" t="s">
        <v>267</v>
      </c>
      <c r="B7" s="131">
        <v>297052</v>
      </c>
      <c r="C7" s="131">
        <v>148526</v>
      </c>
    </row>
    <row r="8" spans="1:3">
      <c r="A8" s="182" t="s">
        <v>266</v>
      </c>
      <c r="B8" s="131">
        <v>545968</v>
      </c>
      <c r="C8" s="131">
        <v>10301</v>
      </c>
    </row>
    <row r="9" spans="1:3">
      <c r="A9" s="182" t="s">
        <v>265</v>
      </c>
      <c r="B9" s="131">
        <v>3335</v>
      </c>
      <c r="C9" s="131">
        <v>3335</v>
      </c>
    </row>
    <row r="10" spans="1:3">
      <c r="A10" s="182" t="s">
        <v>264</v>
      </c>
      <c r="B10" s="131">
        <v>6768581</v>
      </c>
      <c r="C10" s="131">
        <v>17311</v>
      </c>
    </row>
    <row r="11" spans="1:3">
      <c r="A11" s="182" t="s">
        <v>263</v>
      </c>
      <c r="B11" s="131">
        <v>1962141</v>
      </c>
      <c r="C11" s="131">
        <v>85310</v>
      </c>
    </row>
    <row r="12" spans="1:3">
      <c r="A12" s="182" t="s">
        <v>262</v>
      </c>
      <c r="B12" s="131">
        <v>113916</v>
      </c>
      <c r="C12" s="131">
        <v>1931</v>
      </c>
    </row>
    <row r="13" spans="1:3">
      <c r="A13" s="182" t="s">
        <v>261</v>
      </c>
      <c r="B13" s="131">
        <v>512961</v>
      </c>
      <c r="C13" s="131">
        <v>6839</v>
      </c>
    </row>
    <row r="14" spans="1:3">
      <c r="A14" s="182" t="s">
        <v>260</v>
      </c>
      <c r="B14" s="131">
        <v>118955</v>
      </c>
      <c r="C14" s="131">
        <v>16994</v>
      </c>
    </row>
    <row r="15" spans="1:3">
      <c r="A15" s="182" t="s">
        <v>259</v>
      </c>
      <c r="B15" s="131">
        <v>1757306</v>
      </c>
      <c r="C15" s="131">
        <v>17228</v>
      </c>
    </row>
    <row r="16" spans="1:3">
      <c r="A16" s="182" t="s">
        <v>258</v>
      </c>
      <c r="B16" s="131">
        <v>848346</v>
      </c>
      <c r="C16" s="131">
        <v>3946</v>
      </c>
    </row>
    <row r="17" spans="1:3">
      <c r="A17" s="182" t="s">
        <v>257</v>
      </c>
      <c r="B17" s="131">
        <v>2375995</v>
      </c>
      <c r="C17" s="131">
        <v>40965</v>
      </c>
    </row>
    <row r="18" spans="1:3">
      <c r="A18" s="182" t="s">
        <v>256</v>
      </c>
      <c r="B18" s="131">
        <v>697921220</v>
      </c>
      <c r="C18" s="131">
        <v>145249</v>
      </c>
    </row>
    <row r="19" spans="1:3">
      <c r="A19" s="182" t="s">
        <v>255</v>
      </c>
      <c r="B19" s="131">
        <v>6520729</v>
      </c>
      <c r="C19" s="131">
        <v>78563</v>
      </c>
    </row>
    <row r="20" spans="1:3">
      <c r="A20" s="182" t="s">
        <v>254</v>
      </c>
      <c r="B20" s="131">
        <v>0</v>
      </c>
      <c r="C20" s="131">
        <v>0</v>
      </c>
    </row>
    <row r="21" spans="1:3">
      <c r="A21" s="182" t="s">
        <v>253</v>
      </c>
      <c r="B21" s="131">
        <v>5155489</v>
      </c>
      <c r="C21" s="131">
        <v>18816</v>
      </c>
    </row>
    <row r="22" spans="1:3">
      <c r="A22" s="182" t="s">
        <v>252</v>
      </c>
      <c r="B22" s="131">
        <v>6766041</v>
      </c>
      <c r="C22" s="131">
        <v>138082</v>
      </c>
    </row>
    <row r="23" spans="1:3">
      <c r="A23" s="182" t="s">
        <v>251</v>
      </c>
      <c r="B23" s="131">
        <v>135573</v>
      </c>
      <c r="C23" s="131">
        <v>15064</v>
      </c>
    </row>
    <row r="24" spans="1:3">
      <c r="A24" s="182" t="s">
        <v>250</v>
      </c>
      <c r="B24" s="131">
        <v>7661250</v>
      </c>
      <c r="C24" s="131">
        <v>42095</v>
      </c>
    </row>
    <row r="25" spans="1:3">
      <c r="A25" s="182" t="s">
        <v>249</v>
      </c>
      <c r="B25" s="131">
        <v>573643</v>
      </c>
      <c r="C25" s="131">
        <v>12471</v>
      </c>
    </row>
    <row r="26" spans="1:3">
      <c r="A26" s="182" t="s">
        <v>248</v>
      </c>
      <c r="B26" s="131">
        <v>211655</v>
      </c>
      <c r="C26" s="131">
        <v>8141</v>
      </c>
    </row>
    <row r="27" spans="1:3">
      <c r="A27" s="182" t="s">
        <v>247</v>
      </c>
      <c r="B27" s="131">
        <v>9543972</v>
      </c>
      <c r="C27" s="131">
        <v>27988</v>
      </c>
    </row>
    <row r="28" spans="1:3">
      <c r="A28" s="182" t="s">
        <v>246</v>
      </c>
      <c r="B28" s="131">
        <v>119827</v>
      </c>
      <c r="C28" s="131">
        <v>9217</v>
      </c>
    </row>
    <row r="29" spans="1:3">
      <c r="A29" s="182" t="s">
        <v>245</v>
      </c>
      <c r="B29" s="131">
        <v>607756</v>
      </c>
      <c r="C29" s="131">
        <v>8103</v>
      </c>
    </row>
    <row r="30" spans="1:3">
      <c r="A30" s="182" t="s">
        <v>244</v>
      </c>
      <c r="B30" s="131">
        <v>7111555</v>
      </c>
      <c r="C30" s="131">
        <v>96102</v>
      </c>
    </row>
    <row r="31" spans="1:3">
      <c r="A31" s="182" t="s">
        <v>243</v>
      </c>
      <c r="B31" s="131">
        <v>1366586</v>
      </c>
      <c r="C31" s="131">
        <v>12892</v>
      </c>
    </row>
    <row r="32" spans="1:3">
      <c r="A32" s="182" t="s">
        <v>242</v>
      </c>
      <c r="B32" s="131">
        <v>795628</v>
      </c>
      <c r="C32" s="131">
        <v>6979</v>
      </c>
    </row>
    <row r="33" spans="1:3">
      <c r="A33" s="182" t="s">
        <v>241</v>
      </c>
      <c r="B33" s="131">
        <v>1358740</v>
      </c>
      <c r="C33" s="131">
        <v>10958</v>
      </c>
    </row>
    <row r="34" spans="1:3">
      <c r="A34" s="182" t="s">
        <v>240</v>
      </c>
      <c r="B34" s="131">
        <v>4776900</v>
      </c>
      <c r="C34" s="131">
        <v>30426</v>
      </c>
    </row>
    <row r="35" spans="1:3">
      <c r="A35" s="182" t="s">
        <v>239</v>
      </c>
      <c r="B35" s="131">
        <v>3071846</v>
      </c>
      <c r="C35" s="131">
        <v>307185</v>
      </c>
    </row>
    <row r="36" spans="1:3">
      <c r="A36" s="182" t="s">
        <v>238</v>
      </c>
      <c r="B36" s="131">
        <v>42956126</v>
      </c>
      <c r="C36" s="131">
        <v>145249</v>
      </c>
    </row>
    <row r="37" spans="1:3">
      <c r="A37" s="182" t="s">
        <v>237</v>
      </c>
      <c r="B37" s="131">
        <v>72363</v>
      </c>
      <c r="C37" s="131">
        <v>6578</v>
      </c>
    </row>
    <row r="38" spans="1:3">
      <c r="A38" s="182" t="s">
        <v>236</v>
      </c>
      <c r="B38" s="131">
        <v>617442</v>
      </c>
      <c r="C38" s="131">
        <v>61744</v>
      </c>
    </row>
    <row r="39" spans="1:3">
      <c r="A39" s="182" t="s">
        <v>235</v>
      </c>
      <c r="B39" s="131">
        <v>393189</v>
      </c>
      <c r="C39" s="131">
        <v>5698</v>
      </c>
    </row>
    <row r="40" spans="1:3">
      <c r="A40" s="182" t="s">
        <v>234</v>
      </c>
      <c r="B40" s="131">
        <v>14222523</v>
      </c>
      <c r="C40" s="131">
        <v>16180</v>
      </c>
    </row>
    <row r="41" spans="1:3">
      <c r="A41" s="182" t="s">
        <v>317</v>
      </c>
      <c r="B41" s="131">
        <v>2371749</v>
      </c>
      <c r="C41" s="131">
        <v>43921</v>
      </c>
    </row>
    <row r="42" spans="1:3">
      <c r="A42" s="182" t="s">
        <v>233</v>
      </c>
      <c r="B42" s="131">
        <v>107243</v>
      </c>
      <c r="C42" s="131">
        <v>21449</v>
      </c>
    </row>
    <row r="43" spans="1:3">
      <c r="A43" s="182" t="s">
        <v>232</v>
      </c>
      <c r="B43" s="131">
        <v>454147</v>
      </c>
      <c r="C43" s="131">
        <v>30276</v>
      </c>
    </row>
    <row r="44" spans="1:3">
      <c r="A44" s="182" t="s">
        <v>231</v>
      </c>
      <c r="B44" s="131">
        <v>6151990</v>
      </c>
      <c r="C44" s="131">
        <v>30010</v>
      </c>
    </row>
    <row r="45" spans="1:3">
      <c r="A45" s="182" t="s">
        <v>230</v>
      </c>
      <c r="B45" s="131">
        <v>0</v>
      </c>
      <c r="C45" s="131">
        <v>0</v>
      </c>
    </row>
    <row r="46" spans="1:3">
      <c r="A46" s="182" t="s">
        <v>229</v>
      </c>
      <c r="B46" s="131">
        <v>282867</v>
      </c>
      <c r="C46" s="131">
        <v>4222</v>
      </c>
    </row>
    <row r="47" spans="1:3">
      <c r="A47" s="182" t="s">
        <v>228</v>
      </c>
      <c r="B47" s="131">
        <v>220060</v>
      </c>
      <c r="C47" s="131">
        <v>2366</v>
      </c>
    </row>
    <row r="48" spans="1:3">
      <c r="A48" s="182" t="s">
        <v>227</v>
      </c>
      <c r="B48" s="131">
        <v>602528301</v>
      </c>
      <c r="C48" s="131">
        <v>75269</v>
      </c>
    </row>
    <row r="49" spans="1:3">
      <c r="A49" s="182" t="s">
        <v>226</v>
      </c>
      <c r="B49" s="131">
        <v>266490</v>
      </c>
      <c r="C49" s="131">
        <v>5793</v>
      </c>
    </row>
    <row r="50" spans="1:3">
      <c r="A50" s="182" t="s">
        <v>225</v>
      </c>
      <c r="B50" s="131">
        <v>18189513</v>
      </c>
      <c r="C50" s="131">
        <v>24383</v>
      </c>
    </row>
    <row r="51" spans="1:3">
      <c r="A51" s="182" t="s">
        <v>224</v>
      </c>
      <c r="B51" s="131">
        <v>2073934</v>
      </c>
      <c r="C51" s="131">
        <v>50584</v>
      </c>
    </row>
    <row r="52" spans="1:3">
      <c r="A52" s="182" t="s">
        <v>223</v>
      </c>
      <c r="B52" s="131">
        <v>482046</v>
      </c>
      <c r="C52" s="131">
        <v>22955</v>
      </c>
    </row>
    <row r="53" spans="1:3">
      <c r="A53" s="182" t="s">
        <v>222</v>
      </c>
      <c r="B53" s="131">
        <v>172506</v>
      </c>
      <c r="C53" s="131">
        <v>9079</v>
      </c>
    </row>
    <row r="54" spans="1:3">
      <c r="A54" s="182" t="s">
        <v>221</v>
      </c>
      <c r="B54" s="131">
        <v>8062957</v>
      </c>
      <c r="C54" s="131">
        <v>161259</v>
      </c>
    </row>
    <row r="55" spans="1:3">
      <c r="A55" s="182" t="s">
        <v>220</v>
      </c>
      <c r="B55" s="131">
        <v>44136</v>
      </c>
      <c r="C55" s="131">
        <v>14712</v>
      </c>
    </row>
    <row r="56" spans="1:3">
      <c r="A56" s="182" t="s">
        <v>219</v>
      </c>
      <c r="B56" s="131">
        <v>3527856</v>
      </c>
      <c r="C56" s="131">
        <v>23363</v>
      </c>
    </row>
    <row r="57" spans="1:3">
      <c r="A57" s="182" t="s">
        <v>218</v>
      </c>
      <c r="B57" s="131">
        <v>8666496</v>
      </c>
      <c r="C57" s="131">
        <v>12933</v>
      </c>
    </row>
  </sheetData>
  <mergeCells count="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9A91-1D18-ED49-96D5-C84290537053}">
  <dimension ref="A2:BN131"/>
  <sheetViews>
    <sheetView topLeftCell="K118" zoomScale="80" zoomScaleNormal="80" workbookViewId="0">
      <selection activeCell="Q127" sqref="Q127"/>
    </sheetView>
  </sheetViews>
  <sheetFormatPr defaultColWidth="10.796875" defaultRowHeight="40.049999999999997" customHeight="1"/>
  <cols>
    <col min="1" max="3" width="10.796875" style="4"/>
    <col min="4" max="4" width="24" style="4" customWidth="1"/>
    <col min="5" max="5" width="72.5" style="4" customWidth="1"/>
    <col min="6" max="8" width="25.296875" style="4" customWidth="1"/>
    <col min="9" max="9" width="26.796875" style="4" customWidth="1"/>
    <col min="10" max="10" width="17.69921875" style="4" customWidth="1"/>
    <col min="11" max="11" width="18.5" style="4" customWidth="1"/>
    <col min="12" max="12" width="33.796875" style="4" customWidth="1"/>
    <col min="13" max="13" width="36.69921875" style="291" customWidth="1"/>
    <col min="14" max="14" width="31.19921875" style="4" customWidth="1"/>
    <col min="15" max="38" width="25" style="4" customWidth="1"/>
    <col min="39" max="40" width="31.69921875" style="4" customWidth="1"/>
    <col min="41" max="41" width="27" style="4" customWidth="1"/>
    <col min="42" max="48" width="25" style="4" customWidth="1"/>
    <col min="49" max="50" width="10.796875" style="4"/>
    <col min="51" max="65" width="10.796875" style="3"/>
    <col min="66" max="16384" width="10.796875" style="4"/>
  </cols>
  <sheetData>
    <row r="2" spans="1:65" s="291" customFormat="1" ht="63" customHeight="1" thickBot="1">
      <c r="A2" s="290" t="s">
        <v>0</v>
      </c>
      <c r="B2" s="290" t="s">
        <v>1</v>
      </c>
      <c r="C2" s="290" t="s">
        <v>2</v>
      </c>
      <c r="D2" s="290" t="s">
        <v>302</v>
      </c>
      <c r="E2" s="290" t="s">
        <v>3</v>
      </c>
      <c r="F2" s="290" t="s">
        <v>530</v>
      </c>
      <c r="G2" s="424" t="s">
        <v>502</v>
      </c>
      <c r="H2" s="425"/>
      <c r="I2" s="424" t="s">
        <v>537</v>
      </c>
      <c r="J2" s="425"/>
      <c r="K2" s="290" t="s">
        <v>6</v>
      </c>
      <c r="L2" s="290" t="s">
        <v>162</v>
      </c>
      <c r="M2" s="290" t="s">
        <v>129</v>
      </c>
      <c r="N2" s="290" t="s">
        <v>536</v>
      </c>
      <c r="O2" s="459" t="s">
        <v>538</v>
      </c>
      <c r="P2" s="460"/>
      <c r="Q2" s="461"/>
      <c r="R2" s="462" t="s">
        <v>539</v>
      </c>
      <c r="S2" s="463"/>
      <c r="T2" s="464"/>
      <c r="U2" s="465" t="s">
        <v>540</v>
      </c>
      <c r="V2" s="466"/>
      <c r="W2" s="467"/>
      <c r="X2" s="468" t="s">
        <v>541</v>
      </c>
      <c r="Y2" s="469"/>
      <c r="Z2" s="470"/>
      <c r="AA2" s="459" t="s">
        <v>542</v>
      </c>
      <c r="AB2" s="460"/>
      <c r="AC2" s="461"/>
      <c r="AD2" s="462" t="s">
        <v>543</v>
      </c>
      <c r="AE2" s="463"/>
      <c r="AF2" s="464"/>
      <c r="AG2" s="465" t="s">
        <v>544</v>
      </c>
      <c r="AH2" s="466"/>
      <c r="AI2" s="467"/>
      <c r="AJ2" s="468" t="s">
        <v>545</v>
      </c>
      <c r="AK2" s="469"/>
      <c r="AL2" s="470"/>
      <c r="AM2" s="490" t="s">
        <v>546</v>
      </c>
      <c r="AN2" s="491"/>
      <c r="AO2" s="292" t="s">
        <v>493</v>
      </c>
      <c r="AP2" s="422" t="s">
        <v>547</v>
      </c>
      <c r="AQ2" s="423"/>
      <c r="AR2" s="293" t="s">
        <v>190</v>
      </c>
      <c r="AY2" s="294"/>
      <c r="AZ2" s="294"/>
      <c r="BA2" s="294"/>
      <c r="BB2" s="294"/>
      <c r="BC2" s="294"/>
      <c r="BD2" s="294"/>
      <c r="BE2" s="294"/>
      <c r="BF2" s="294"/>
      <c r="BG2" s="294"/>
      <c r="BH2" s="294"/>
      <c r="BI2" s="294"/>
      <c r="BJ2" s="294"/>
      <c r="BK2" s="294"/>
      <c r="BL2" s="294"/>
      <c r="BM2" s="294"/>
    </row>
    <row r="3" spans="1:65" ht="70.95" customHeight="1">
      <c r="A3" s="349" t="s">
        <v>113</v>
      </c>
      <c r="B3" s="349" t="s">
        <v>523</v>
      </c>
      <c r="C3" s="471">
        <v>2</v>
      </c>
      <c r="D3" s="416" t="s">
        <v>20</v>
      </c>
      <c r="E3" s="416" t="s">
        <v>21</v>
      </c>
      <c r="F3" s="416" t="s">
        <v>88</v>
      </c>
      <c r="G3" s="472" t="s">
        <v>328</v>
      </c>
      <c r="H3" s="473"/>
      <c r="I3" s="416" t="s">
        <v>524</v>
      </c>
      <c r="J3" s="420">
        <v>290</v>
      </c>
      <c r="K3" s="416" t="s">
        <v>111</v>
      </c>
      <c r="L3" s="416" t="s">
        <v>211</v>
      </c>
      <c r="M3" s="418" t="s">
        <v>531</v>
      </c>
      <c r="N3" s="416"/>
      <c r="O3" s="111" t="s">
        <v>9</v>
      </c>
      <c r="P3" s="111" t="s">
        <v>10</v>
      </c>
      <c r="Q3" s="111" t="s">
        <v>13</v>
      </c>
      <c r="R3" s="74" t="s">
        <v>9</v>
      </c>
      <c r="S3" s="74" t="s">
        <v>10</v>
      </c>
      <c r="T3" s="74" t="s">
        <v>13</v>
      </c>
      <c r="U3" s="110" t="s">
        <v>9</v>
      </c>
      <c r="V3" s="110" t="s">
        <v>10</v>
      </c>
      <c r="W3" s="110" t="s">
        <v>13</v>
      </c>
      <c r="X3" s="72" t="s">
        <v>9</v>
      </c>
      <c r="Y3" s="72" t="s">
        <v>10</v>
      </c>
      <c r="Z3" s="72" t="s">
        <v>13</v>
      </c>
      <c r="AA3" s="75" t="s">
        <v>9</v>
      </c>
      <c r="AB3" s="75" t="s">
        <v>10</v>
      </c>
      <c r="AC3" s="75" t="s">
        <v>13</v>
      </c>
      <c r="AD3" s="74" t="s">
        <v>9</v>
      </c>
      <c r="AE3" s="74" t="s">
        <v>10</v>
      </c>
      <c r="AF3" s="74" t="s">
        <v>13</v>
      </c>
      <c r="AG3" s="73" t="s">
        <v>9</v>
      </c>
      <c r="AH3" s="73" t="s">
        <v>10</v>
      </c>
      <c r="AI3" s="73" t="s">
        <v>13</v>
      </c>
      <c r="AJ3" s="72" t="s">
        <v>9</v>
      </c>
      <c r="AK3" s="72" t="s">
        <v>10</v>
      </c>
      <c r="AL3" s="72" t="s">
        <v>13</v>
      </c>
      <c r="AM3" s="64"/>
      <c r="AN3" s="64"/>
      <c r="AO3" s="402">
        <f>W4</f>
        <v>9224432810</v>
      </c>
      <c r="AP3" s="426" t="s">
        <v>548</v>
      </c>
      <c r="AQ3" s="428">
        <f>(Q4/W4)*100</f>
        <v>9.7465701091707562</v>
      </c>
      <c r="AR3" s="399">
        <f>(W4/((GSDP_India!B25*(J3/366))+GSDP_India!C25+GSDP_India!D25))*100</f>
        <v>0.58310684529654</v>
      </c>
    </row>
    <row r="4" spans="1:65" ht="69" customHeight="1" thickBot="1">
      <c r="A4" s="350"/>
      <c r="B4" s="350"/>
      <c r="C4" s="350"/>
      <c r="D4" s="417"/>
      <c r="E4" s="417"/>
      <c r="F4" s="417"/>
      <c r="G4" s="474"/>
      <c r="H4" s="475"/>
      <c r="I4" s="417"/>
      <c r="J4" s="421"/>
      <c r="K4" s="417"/>
      <c r="L4" s="417"/>
      <c r="M4" s="419"/>
      <c r="N4" s="417"/>
      <c r="O4" s="109">
        <f>Age_int!L7</f>
        <v>540292101</v>
      </c>
      <c r="P4" s="109">
        <f>Age_int!M7</f>
        <v>358773710</v>
      </c>
      <c r="Q4" s="109">
        <f>Age_int!N7</f>
        <v>899065811</v>
      </c>
      <c r="R4" s="360" t="s">
        <v>114</v>
      </c>
      <c r="S4" s="361"/>
      <c r="T4" s="362"/>
      <c r="U4" s="108">
        <f>Age_int!T7</f>
        <v>5542734357</v>
      </c>
      <c r="V4" s="108">
        <f>Age_int!U7</f>
        <v>3681698453</v>
      </c>
      <c r="W4" s="108">
        <f>Age_int!V7</f>
        <v>9224432810</v>
      </c>
      <c r="X4" s="370" t="s">
        <v>114</v>
      </c>
      <c r="Y4" s="381"/>
      <c r="Z4" s="371"/>
      <c r="AA4" s="345"/>
      <c r="AB4" s="346"/>
      <c r="AC4" s="69">
        <f>ID_2!J4</f>
        <v>55171</v>
      </c>
      <c r="AD4" s="360" t="s">
        <v>114</v>
      </c>
      <c r="AE4" s="361"/>
      <c r="AF4" s="362"/>
      <c r="AG4" s="363"/>
      <c r="AH4" s="365"/>
      <c r="AI4" s="68">
        <f>ID_2!M4</f>
        <v>55174</v>
      </c>
      <c r="AJ4" s="370" t="s">
        <v>114</v>
      </c>
      <c r="AK4" s="381"/>
      <c r="AL4" s="371"/>
      <c r="AM4" s="67"/>
      <c r="AN4" s="67"/>
      <c r="AO4" s="403"/>
      <c r="AP4" s="427"/>
      <c r="AQ4" s="429"/>
      <c r="AR4" s="390"/>
    </row>
    <row r="5" spans="1:65" ht="64.95" customHeight="1">
      <c r="A5" s="351" t="s">
        <v>113</v>
      </c>
      <c r="B5" s="351" t="s">
        <v>523</v>
      </c>
      <c r="C5" s="434">
        <v>3</v>
      </c>
      <c r="D5" s="351" t="s">
        <v>299</v>
      </c>
      <c r="E5" s="351" t="s">
        <v>298</v>
      </c>
      <c r="F5" s="351" t="s">
        <v>297</v>
      </c>
      <c r="G5" s="391" t="s">
        <v>328</v>
      </c>
      <c r="H5" s="392"/>
      <c r="I5" s="351" t="s">
        <v>524</v>
      </c>
      <c r="J5" s="395">
        <v>226</v>
      </c>
      <c r="K5" s="351" t="s">
        <v>112</v>
      </c>
      <c r="L5" s="351" t="s">
        <v>296</v>
      </c>
      <c r="M5" s="353"/>
      <c r="N5" s="351"/>
      <c r="O5" s="86" t="s">
        <v>9</v>
      </c>
      <c r="P5" s="86" t="s">
        <v>10</v>
      </c>
      <c r="Q5" s="86" t="s">
        <v>13</v>
      </c>
      <c r="R5" s="85" t="s">
        <v>9</v>
      </c>
      <c r="S5" s="85" t="s">
        <v>10</v>
      </c>
      <c r="T5" s="85" t="s">
        <v>13</v>
      </c>
      <c r="U5" s="84" t="s">
        <v>9</v>
      </c>
      <c r="V5" s="84" t="s">
        <v>10</v>
      </c>
      <c r="W5" s="84" t="s">
        <v>13</v>
      </c>
      <c r="X5" s="83" t="s">
        <v>9</v>
      </c>
      <c r="Y5" s="83" t="s">
        <v>10</v>
      </c>
      <c r="Z5" s="83" t="s">
        <v>13</v>
      </c>
      <c r="AA5" s="86" t="s">
        <v>9</v>
      </c>
      <c r="AB5" s="86" t="s">
        <v>10</v>
      </c>
      <c r="AC5" s="86" t="s">
        <v>13</v>
      </c>
      <c r="AD5" s="85" t="s">
        <v>9</v>
      </c>
      <c r="AE5" s="85" t="s">
        <v>10</v>
      </c>
      <c r="AF5" s="85" t="s">
        <v>13</v>
      </c>
      <c r="AG5" s="84" t="s">
        <v>9</v>
      </c>
      <c r="AH5" s="84" t="s">
        <v>10</v>
      </c>
      <c r="AI5" s="84" t="s">
        <v>13</v>
      </c>
      <c r="AJ5" s="83" t="s">
        <v>9</v>
      </c>
      <c r="AK5" s="83" t="s">
        <v>10</v>
      </c>
      <c r="AL5" s="83" t="s">
        <v>13</v>
      </c>
      <c r="AM5" s="96" t="s">
        <v>509</v>
      </c>
      <c r="AN5" s="96">
        <f>ID_3!A12</f>
        <v>26572538.24137906</v>
      </c>
      <c r="AO5" s="402">
        <f>AN5+AN6</f>
        <v>26996257.450863361</v>
      </c>
      <c r="AP5" s="397" t="s">
        <v>328</v>
      </c>
      <c r="AQ5" s="398"/>
      <c r="AR5" s="399">
        <f>(AO5/(IMF!G48*(J5/366)))*100</f>
        <v>0.10771824173850504</v>
      </c>
    </row>
    <row r="6" spans="1:65" ht="67.05" customHeight="1" thickBot="1">
      <c r="A6" s="352"/>
      <c r="B6" s="352"/>
      <c r="C6" s="352"/>
      <c r="D6" s="352"/>
      <c r="E6" s="352"/>
      <c r="F6" s="352"/>
      <c r="G6" s="393"/>
      <c r="H6" s="394"/>
      <c r="I6" s="352"/>
      <c r="J6" s="396"/>
      <c r="K6" s="352"/>
      <c r="L6" s="352"/>
      <c r="M6" s="354"/>
      <c r="N6" s="352"/>
      <c r="O6" s="342" t="s">
        <v>114</v>
      </c>
      <c r="P6" s="400"/>
      <c r="Q6" s="343"/>
      <c r="R6" s="340" t="s">
        <v>114</v>
      </c>
      <c r="S6" s="401"/>
      <c r="T6" s="341"/>
      <c r="U6" s="307" t="s">
        <v>114</v>
      </c>
      <c r="V6" s="308"/>
      <c r="W6" s="309"/>
      <c r="X6" s="310" t="s">
        <v>114</v>
      </c>
      <c r="Y6" s="311"/>
      <c r="Z6" s="312"/>
      <c r="AA6" s="342" t="s">
        <v>114</v>
      </c>
      <c r="AB6" s="400"/>
      <c r="AC6" s="343"/>
      <c r="AD6" s="340" t="s">
        <v>114</v>
      </c>
      <c r="AE6" s="401"/>
      <c r="AF6" s="341"/>
      <c r="AG6" s="307" t="s">
        <v>114</v>
      </c>
      <c r="AH6" s="308"/>
      <c r="AI6" s="309"/>
      <c r="AJ6" s="310" t="s">
        <v>114</v>
      </c>
      <c r="AK6" s="311"/>
      <c r="AL6" s="312"/>
      <c r="AM6" s="62" t="s">
        <v>510</v>
      </c>
      <c r="AN6" s="62">
        <f>ID_3!D12</f>
        <v>423719.20948430186</v>
      </c>
      <c r="AO6" s="403"/>
      <c r="AP6" s="387"/>
      <c r="AQ6" s="388"/>
      <c r="AR6" s="390"/>
    </row>
    <row r="7" spans="1:65" ht="40.049999999999997" customHeight="1">
      <c r="A7" s="349" t="s">
        <v>113</v>
      </c>
      <c r="B7" s="349" t="s">
        <v>523</v>
      </c>
      <c r="C7" s="471">
        <v>6</v>
      </c>
      <c r="D7" s="416" t="s">
        <v>295</v>
      </c>
      <c r="E7" s="416" t="s">
        <v>294</v>
      </c>
      <c r="F7" s="416">
        <v>2021</v>
      </c>
      <c r="G7" s="472" t="s">
        <v>328</v>
      </c>
      <c r="H7" s="473"/>
      <c r="I7" s="472" t="s">
        <v>328</v>
      </c>
      <c r="J7" s="473"/>
      <c r="K7" s="416" t="s">
        <v>112</v>
      </c>
      <c r="L7" s="349" t="s">
        <v>77</v>
      </c>
      <c r="M7" s="347"/>
      <c r="N7" s="349"/>
      <c r="O7" s="75" t="s">
        <v>9</v>
      </c>
      <c r="P7" s="75" t="s">
        <v>10</v>
      </c>
      <c r="Q7" s="75" t="s">
        <v>13</v>
      </c>
      <c r="R7" s="74" t="s">
        <v>9</v>
      </c>
      <c r="S7" s="74" t="s">
        <v>10</v>
      </c>
      <c r="T7" s="74" t="s">
        <v>13</v>
      </c>
      <c r="U7" s="73" t="s">
        <v>9</v>
      </c>
      <c r="V7" s="73" t="s">
        <v>10</v>
      </c>
      <c r="W7" s="73" t="s">
        <v>13</v>
      </c>
      <c r="X7" s="72" t="s">
        <v>9</v>
      </c>
      <c r="Y7" s="72" t="s">
        <v>10</v>
      </c>
      <c r="Z7" s="72" t="s">
        <v>13</v>
      </c>
      <c r="AA7" s="75" t="s">
        <v>9</v>
      </c>
      <c r="AB7" s="75" t="s">
        <v>10</v>
      </c>
      <c r="AC7" s="75" t="s">
        <v>13</v>
      </c>
      <c r="AD7" s="74" t="s">
        <v>9</v>
      </c>
      <c r="AE7" s="74" t="s">
        <v>10</v>
      </c>
      <c r="AF7" s="74" t="s">
        <v>13</v>
      </c>
      <c r="AG7" s="73" t="s">
        <v>9</v>
      </c>
      <c r="AH7" s="73" t="s">
        <v>10</v>
      </c>
      <c r="AI7" s="73" t="s">
        <v>13</v>
      </c>
      <c r="AJ7" s="72" t="s">
        <v>9</v>
      </c>
      <c r="AK7" s="72" t="s">
        <v>10</v>
      </c>
      <c r="AL7" s="72" t="s">
        <v>13</v>
      </c>
      <c r="AM7" s="64"/>
      <c r="AN7" s="64"/>
      <c r="AO7" s="402">
        <f>Z8</f>
        <v>4458503094.320116</v>
      </c>
      <c r="AP7" s="409" t="s">
        <v>328</v>
      </c>
      <c r="AQ7" s="386"/>
      <c r="AR7" s="406">
        <f>(Z8/ID_6!C9)*100</f>
        <v>9.3345162404028223E-2</v>
      </c>
    </row>
    <row r="8" spans="1:65" ht="40.049999999999997" customHeight="1" thickBot="1">
      <c r="A8" s="350"/>
      <c r="B8" s="350"/>
      <c r="C8" s="350"/>
      <c r="D8" s="417"/>
      <c r="E8" s="417"/>
      <c r="F8" s="417"/>
      <c r="G8" s="474"/>
      <c r="H8" s="475"/>
      <c r="I8" s="474"/>
      <c r="J8" s="475"/>
      <c r="K8" s="417"/>
      <c r="L8" s="350"/>
      <c r="M8" s="348"/>
      <c r="N8" s="350"/>
      <c r="O8" s="345" t="s">
        <v>114</v>
      </c>
      <c r="P8" s="359"/>
      <c r="Q8" s="346"/>
      <c r="R8" s="360" t="s">
        <v>114</v>
      </c>
      <c r="S8" s="361"/>
      <c r="T8" s="362"/>
      <c r="U8" s="363" t="s">
        <v>114</v>
      </c>
      <c r="V8" s="364"/>
      <c r="W8" s="365"/>
      <c r="X8" s="370"/>
      <c r="Y8" s="371"/>
      <c r="Z8" s="97">
        <f>ID_6!A8</f>
        <v>4458503094.320116</v>
      </c>
      <c r="AA8" s="345" t="s">
        <v>114</v>
      </c>
      <c r="AB8" s="359"/>
      <c r="AC8" s="346"/>
      <c r="AD8" s="360" t="s">
        <v>114</v>
      </c>
      <c r="AE8" s="361"/>
      <c r="AF8" s="362"/>
      <c r="AG8" s="363" t="s">
        <v>114</v>
      </c>
      <c r="AH8" s="364"/>
      <c r="AI8" s="365"/>
      <c r="AJ8" s="370" t="s">
        <v>114</v>
      </c>
      <c r="AK8" s="381"/>
      <c r="AL8" s="371"/>
      <c r="AM8" s="67"/>
      <c r="AN8" s="67"/>
      <c r="AO8" s="403"/>
      <c r="AP8" s="387"/>
      <c r="AQ8" s="388"/>
      <c r="AR8" s="390"/>
    </row>
    <row r="9" spans="1:65" ht="40.049999999999997" customHeight="1">
      <c r="A9" s="351" t="s">
        <v>113</v>
      </c>
      <c r="B9" s="351" t="s">
        <v>523</v>
      </c>
      <c r="C9" s="434">
        <v>7</v>
      </c>
      <c r="D9" s="351" t="s">
        <v>293</v>
      </c>
      <c r="E9" s="351" t="s">
        <v>292</v>
      </c>
      <c r="F9" s="449" t="s">
        <v>438</v>
      </c>
      <c r="G9" s="456" t="s">
        <v>328</v>
      </c>
      <c r="H9" s="392"/>
      <c r="I9" s="351" t="s">
        <v>524</v>
      </c>
      <c r="J9" s="395">
        <v>295</v>
      </c>
      <c r="K9" s="351" t="s">
        <v>112</v>
      </c>
      <c r="L9" s="351" t="s">
        <v>291</v>
      </c>
      <c r="M9" s="353" t="s">
        <v>532</v>
      </c>
      <c r="N9" s="351"/>
      <c r="O9" s="86" t="s">
        <v>9</v>
      </c>
      <c r="P9" s="86" t="s">
        <v>10</v>
      </c>
      <c r="Q9" s="86" t="s">
        <v>13</v>
      </c>
      <c r="R9" s="85" t="s">
        <v>9</v>
      </c>
      <c r="S9" s="85" t="s">
        <v>10</v>
      </c>
      <c r="T9" s="85" t="s">
        <v>13</v>
      </c>
      <c r="U9" s="84" t="s">
        <v>9</v>
      </c>
      <c r="V9" s="84" t="s">
        <v>10</v>
      </c>
      <c r="W9" s="84" t="s">
        <v>13</v>
      </c>
      <c r="X9" s="83" t="s">
        <v>9</v>
      </c>
      <c r="Y9" s="83" t="s">
        <v>10</v>
      </c>
      <c r="Z9" s="83" t="s">
        <v>13</v>
      </c>
      <c r="AA9" s="86" t="s">
        <v>9</v>
      </c>
      <c r="AB9" s="86" t="s">
        <v>10</v>
      </c>
      <c r="AC9" s="86" t="s">
        <v>13</v>
      </c>
      <c r="AD9" s="85" t="s">
        <v>9</v>
      </c>
      <c r="AE9" s="85" t="s">
        <v>10</v>
      </c>
      <c r="AF9" s="85" t="s">
        <v>13</v>
      </c>
      <c r="AG9" s="84" t="s">
        <v>9</v>
      </c>
      <c r="AH9" s="84" t="s">
        <v>10</v>
      </c>
      <c r="AI9" s="84" t="s">
        <v>13</v>
      </c>
      <c r="AJ9" s="83" t="s">
        <v>9</v>
      </c>
      <c r="AK9" s="83" t="s">
        <v>10</v>
      </c>
      <c r="AL9" s="83" t="s">
        <v>13</v>
      </c>
      <c r="AM9" s="64"/>
      <c r="AN9" s="64"/>
      <c r="AO9" s="402">
        <f>Q10</f>
        <v>846076489.29292929</v>
      </c>
      <c r="AP9" s="397" t="s">
        <v>328</v>
      </c>
      <c r="AQ9" s="398"/>
      <c r="AR9" s="399">
        <f>(AO9/(IMF!G74*(J9/366)))*100</f>
        <v>4.117084992008338E-2</v>
      </c>
    </row>
    <row r="10" spans="1:65" ht="82.05" customHeight="1" thickBot="1">
      <c r="A10" s="352"/>
      <c r="B10" s="352"/>
      <c r="C10" s="352"/>
      <c r="D10" s="352"/>
      <c r="E10" s="352"/>
      <c r="F10" s="352"/>
      <c r="G10" s="393"/>
      <c r="H10" s="394"/>
      <c r="I10" s="352"/>
      <c r="J10" s="396"/>
      <c r="K10" s="352"/>
      <c r="L10" s="352"/>
      <c r="M10" s="354"/>
      <c r="N10" s="352"/>
      <c r="O10" s="76">
        <f>ID_7!A10</f>
        <v>672297918.68686867</v>
      </c>
      <c r="P10" s="76">
        <f>ID_7!B10</f>
        <v>173778570.60606062</v>
      </c>
      <c r="Q10" s="76">
        <f>SUM(O10:P10)</f>
        <v>846076489.29292929</v>
      </c>
      <c r="R10" s="340" t="s">
        <v>114</v>
      </c>
      <c r="S10" s="401"/>
      <c r="T10" s="341"/>
      <c r="U10" s="307" t="s">
        <v>114</v>
      </c>
      <c r="V10" s="308"/>
      <c r="W10" s="309"/>
      <c r="X10" s="310" t="s">
        <v>114</v>
      </c>
      <c r="Y10" s="311"/>
      <c r="Z10" s="312"/>
      <c r="AA10" s="76">
        <f>ID_7!D10</f>
        <v>37184.616161616155</v>
      </c>
      <c r="AB10" s="76">
        <f>ID_7!E10</f>
        <v>15602.313131313133</v>
      </c>
      <c r="AC10" s="76">
        <f>AVERAGE(AA10:AB10)</f>
        <v>26393.464646464643</v>
      </c>
      <c r="AD10" s="340" t="s">
        <v>114</v>
      </c>
      <c r="AE10" s="401"/>
      <c r="AF10" s="341"/>
      <c r="AG10" s="307" t="s">
        <v>114</v>
      </c>
      <c r="AH10" s="308"/>
      <c r="AI10" s="309"/>
      <c r="AJ10" s="310" t="s">
        <v>114</v>
      </c>
      <c r="AK10" s="311"/>
      <c r="AL10" s="312"/>
      <c r="AM10" s="67"/>
      <c r="AN10" s="67"/>
      <c r="AO10" s="403"/>
      <c r="AP10" s="387"/>
      <c r="AQ10" s="388"/>
      <c r="AR10" s="390"/>
    </row>
    <row r="11" spans="1:65" ht="40.049999999999997" customHeight="1">
      <c r="A11" s="448" t="s">
        <v>113</v>
      </c>
      <c r="B11" s="448" t="s">
        <v>523</v>
      </c>
      <c r="C11" s="448">
        <v>8</v>
      </c>
      <c r="D11" s="382" t="s">
        <v>290</v>
      </c>
      <c r="E11" s="382" t="s">
        <v>289</v>
      </c>
      <c r="F11" s="382" t="s">
        <v>288</v>
      </c>
      <c r="G11" s="450" t="s">
        <v>328</v>
      </c>
      <c r="H11" s="451"/>
      <c r="I11" s="94"/>
      <c r="J11" s="142"/>
      <c r="K11" s="382" t="s">
        <v>212</v>
      </c>
      <c r="L11" s="382" t="s">
        <v>77</v>
      </c>
      <c r="M11" s="435"/>
      <c r="N11" s="107"/>
      <c r="O11" s="106" t="s">
        <v>9</v>
      </c>
      <c r="P11" s="106" t="s">
        <v>10</v>
      </c>
      <c r="Q11" s="106" t="s">
        <v>13</v>
      </c>
      <c r="R11" s="105" t="s">
        <v>9</v>
      </c>
      <c r="S11" s="105" t="s">
        <v>10</v>
      </c>
      <c r="T11" s="105" t="s">
        <v>13</v>
      </c>
      <c r="U11" s="104" t="s">
        <v>9</v>
      </c>
      <c r="V11" s="104" t="s">
        <v>10</v>
      </c>
      <c r="W11" s="104" t="s">
        <v>13</v>
      </c>
      <c r="X11" s="103" t="s">
        <v>9</v>
      </c>
      <c r="Y11" s="103" t="s">
        <v>10</v>
      </c>
      <c r="Z11" s="103" t="s">
        <v>13</v>
      </c>
      <c r="AA11" s="106" t="s">
        <v>9</v>
      </c>
      <c r="AB11" s="106" t="s">
        <v>10</v>
      </c>
      <c r="AC11" s="106" t="s">
        <v>13</v>
      </c>
      <c r="AD11" s="105" t="s">
        <v>9</v>
      </c>
      <c r="AE11" s="105" t="s">
        <v>10</v>
      </c>
      <c r="AF11" s="105" t="s">
        <v>13</v>
      </c>
      <c r="AG11" s="104" t="s">
        <v>9</v>
      </c>
      <c r="AH11" s="104" t="s">
        <v>10</v>
      </c>
      <c r="AI11" s="104" t="s">
        <v>13</v>
      </c>
      <c r="AJ11" s="103" t="s">
        <v>9</v>
      </c>
      <c r="AK11" s="103" t="s">
        <v>10</v>
      </c>
      <c r="AL11" s="103" t="s">
        <v>13</v>
      </c>
      <c r="AM11" s="77"/>
      <c r="AN11" s="77"/>
      <c r="AO11" s="412">
        <f>SUM(W12:W20)</f>
        <v>4138300525.4083424</v>
      </c>
      <c r="AP11" s="397" t="s">
        <v>328</v>
      </c>
      <c r="AQ11" s="398"/>
      <c r="AR11" s="299"/>
    </row>
    <row r="12" spans="1:65" ht="40.049999999999997" customHeight="1">
      <c r="A12" s="448"/>
      <c r="B12" s="448"/>
      <c r="C12" s="448"/>
      <c r="D12" s="382"/>
      <c r="E12" s="382"/>
      <c r="F12" s="382"/>
      <c r="G12" s="452"/>
      <c r="H12" s="453"/>
      <c r="I12" s="102" t="s">
        <v>287</v>
      </c>
      <c r="J12" s="155">
        <v>68</v>
      </c>
      <c r="K12" s="382"/>
      <c r="L12" s="382"/>
      <c r="M12" s="435"/>
      <c r="N12" s="102" t="s">
        <v>287</v>
      </c>
      <c r="O12" s="437" t="s">
        <v>114</v>
      </c>
      <c r="P12" s="438"/>
      <c r="Q12" s="439"/>
      <c r="R12" s="313" t="s">
        <v>114</v>
      </c>
      <c r="S12" s="314"/>
      <c r="T12" s="315"/>
      <c r="U12" s="87">
        <f>ID_8!B20</f>
        <v>208241434.89583334</v>
      </c>
      <c r="V12" s="87">
        <f>ID_8!C20</f>
        <v>53782449.21875</v>
      </c>
      <c r="W12" s="87">
        <f>U12+V12</f>
        <v>262023884.11458334</v>
      </c>
      <c r="X12" s="331" t="s">
        <v>114</v>
      </c>
      <c r="Y12" s="332"/>
      <c r="Z12" s="333"/>
      <c r="AA12" s="372" t="s">
        <v>114</v>
      </c>
      <c r="AB12" s="373"/>
      <c r="AC12" s="374"/>
      <c r="AD12" s="313" t="s">
        <v>114</v>
      </c>
      <c r="AE12" s="314"/>
      <c r="AF12" s="315"/>
      <c r="AG12" s="87">
        <f>ID_8!F20</f>
        <v>89003.90625</v>
      </c>
      <c r="AH12" s="87">
        <f>ID_8!G20</f>
        <v>69621.09375</v>
      </c>
      <c r="AI12" s="87">
        <f>AG12+AH12</f>
        <v>158625</v>
      </c>
      <c r="AJ12" s="331" t="s">
        <v>114</v>
      </c>
      <c r="AK12" s="332"/>
      <c r="AL12" s="333"/>
      <c r="AM12" s="92"/>
      <c r="AN12" s="92"/>
      <c r="AO12" s="412"/>
      <c r="AP12" s="409"/>
      <c r="AQ12" s="386"/>
      <c r="AR12" s="183">
        <f>(W12/(IMF!G6*(J12/366)))*100</f>
        <v>0.23542555623076905</v>
      </c>
    </row>
    <row r="13" spans="1:65" ht="40.049999999999997" customHeight="1">
      <c r="A13" s="448"/>
      <c r="B13" s="448"/>
      <c r="C13" s="448"/>
      <c r="D13" s="382"/>
      <c r="E13" s="382"/>
      <c r="F13" s="382"/>
      <c r="G13" s="452"/>
      <c r="H13" s="453"/>
      <c r="I13" s="102" t="s">
        <v>286</v>
      </c>
      <c r="J13" s="155">
        <v>61</v>
      </c>
      <c r="K13" s="382"/>
      <c r="L13" s="382"/>
      <c r="M13" s="435"/>
      <c r="N13" s="102" t="s">
        <v>286</v>
      </c>
      <c r="O13" s="440"/>
      <c r="P13" s="441"/>
      <c r="Q13" s="442"/>
      <c r="R13" s="316"/>
      <c r="S13" s="317"/>
      <c r="T13" s="318"/>
      <c r="U13" s="87">
        <f>ID_8!B21</f>
        <v>547549661.43790853</v>
      </c>
      <c r="V13" s="87">
        <f>ID_8!C21</f>
        <v>278665806.53594768</v>
      </c>
      <c r="W13" s="87">
        <f>U13+V13</f>
        <v>826215467.97385621</v>
      </c>
      <c r="X13" s="334"/>
      <c r="Y13" s="335"/>
      <c r="Z13" s="336"/>
      <c r="AA13" s="375"/>
      <c r="AB13" s="376"/>
      <c r="AC13" s="377"/>
      <c r="AD13" s="316"/>
      <c r="AE13" s="317"/>
      <c r="AF13" s="318"/>
      <c r="AG13" s="87">
        <f>ID_8!F21</f>
        <v>73526.797385620914</v>
      </c>
      <c r="AH13" s="87">
        <f>ID_8!G21</f>
        <v>77117.647058823524</v>
      </c>
      <c r="AI13" s="87">
        <f>AG13+AH13</f>
        <v>150644.44444444444</v>
      </c>
      <c r="AJ13" s="334"/>
      <c r="AK13" s="335"/>
      <c r="AL13" s="336"/>
      <c r="AM13" s="92"/>
      <c r="AN13" s="92"/>
      <c r="AO13" s="412"/>
      <c r="AP13" s="409"/>
      <c r="AQ13" s="386"/>
      <c r="AR13" s="183">
        <f>(W13/(IMF!G27*(J13/366)))*100</f>
        <v>0.16353329844839382</v>
      </c>
    </row>
    <row r="14" spans="1:65" ht="40.049999999999997" customHeight="1">
      <c r="A14" s="448"/>
      <c r="B14" s="448"/>
      <c r="C14" s="448"/>
      <c r="D14" s="382"/>
      <c r="E14" s="382"/>
      <c r="F14" s="382"/>
      <c r="G14" s="452"/>
      <c r="H14" s="453"/>
      <c r="I14" s="102" t="s">
        <v>285</v>
      </c>
      <c r="J14" s="155">
        <v>75</v>
      </c>
      <c r="K14" s="382"/>
      <c r="L14" s="382"/>
      <c r="M14" s="435"/>
      <c r="N14" s="102" t="s">
        <v>285</v>
      </c>
      <c r="O14" s="440"/>
      <c r="P14" s="441"/>
      <c r="Q14" s="442"/>
      <c r="R14" s="316"/>
      <c r="S14" s="317"/>
      <c r="T14" s="318"/>
      <c r="U14" s="87">
        <v>0</v>
      </c>
      <c r="V14" s="87">
        <v>0</v>
      </c>
      <c r="W14" s="87">
        <v>0</v>
      </c>
      <c r="X14" s="334"/>
      <c r="Y14" s="335"/>
      <c r="Z14" s="336"/>
      <c r="AA14" s="375"/>
      <c r="AB14" s="376"/>
      <c r="AC14" s="377"/>
      <c r="AD14" s="316"/>
      <c r="AE14" s="317"/>
      <c r="AF14" s="318"/>
      <c r="AG14" s="87" t="str">
        <f>ID_8!F22</f>
        <v>-</v>
      </c>
      <c r="AH14" s="87" t="str">
        <f>ID_8!G22</f>
        <v>-</v>
      </c>
      <c r="AI14" s="243" t="s">
        <v>284</v>
      </c>
      <c r="AJ14" s="334"/>
      <c r="AK14" s="335"/>
      <c r="AL14" s="336"/>
      <c r="AM14" s="92"/>
      <c r="AN14" s="92"/>
      <c r="AO14" s="412"/>
      <c r="AP14" s="409"/>
      <c r="AQ14" s="386"/>
      <c r="AR14" s="300">
        <v>0</v>
      </c>
    </row>
    <row r="15" spans="1:65" ht="40.049999999999997" customHeight="1">
      <c r="A15" s="448"/>
      <c r="B15" s="448"/>
      <c r="C15" s="448"/>
      <c r="D15" s="382"/>
      <c r="E15" s="382"/>
      <c r="F15" s="382"/>
      <c r="G15" s="452"/>
      <c r="H15" s="453"/>
      <c r="I15" s="102" t="s">
        <v>283</v>
      </c>
      <c r="J15" s="155">
        <v>54</v>
      </c>
      <c r="K15" s="382"/>
      <c r="L15" s="382"/>
      <c r="M15" s="435"/>
      <c r="N15" s="102" t="s">
        <v>283</v>
      </c>
      <c r="O15" s="440"/>
      <c r="P15" s="441"/>
      <c r="Q15" s="442"/>
      <c r="R15" s="316"/>
      <c r="S15" s="317"/>
      <c r="T15" s="318"/>
      <c r="U15" s="87">
        <f>ID_8!B23</f>
        <v>541610965.87537086</v>
      </c>
      <c r="V15" s="87">
        <f>ID_8!C23</f>
        <v>46745805.63798219</v>
      </c>
      <c r="W15" s="87">
        <f t="shared" ref="W15:W20" si="0">U15+V15</f>
        <v>588356771.51335311</v>
      </c>
      <c r="X15" s="334"/>
      <c r="Y15" s="335"/>
      <c r="Z15" s="336"/>
      <c r="AA15" s="375"/>
      <c r="AB15" s="376"/>
      <c r="AC15" s="377"/>
      <c r="AD15" s="316"/>
      <c r="AE15" s="317"/>
      <c r="AF15" s="318"/>
      <c r="AG15" s="87">
        <f>ID_8!F23</f>
        <v>47994.065281899108</v>
      </c>
      <c r="AH15" s="87">
        <f>ID_8!G23</f>
        <v>35461.424332344213</v>
      </c>
      <c r="AI15" s="87">
        <f t="shared" ref="AI15:AI20" si="1">AG15+AH15</f>
        <v>83455.489614243328</v>
      </c>
      <c r="AJ15" s="334"/>
      <c r="AK15" s="335"/>
      <c r="AL15" s="336"/>
      <c r="AM15" s="92"/>
      <c r="AN15" s="92"/>
      <c r="AO15" s="412"/>
      <c r="AP15" s="409"/>
      <c r="AQ15" s="386"/>
      <c r="AR15" s="183">
        <f>(W15/(IMF!G37*(J15/366)))*100</f>
        <v>0.16172865169873452</v>
      </c>
    </row>
    <row r="16" spans="1:65" ht="40.049999999999997" customHeight="1">
      <c r="A16" s="448"/>
      <c r="B16" s="448"/>
      <c r="C16" s="448"/>
      <c r="D16" s="382"/>
      <c r="E16" s="382"/>
      <c r="F16" s="382"/>
      <c r="G16" s="452"/>
      <c r="H16" s="453"/>
      <c r="I16" s="102" t="s">
        <v>282</v>
      </c>
      <c r="J16" s="155">
        <v>68</v>
      </c>
      <c r="K16" s="382"/>
      <c r="L16" s="382"/>
      <c r="M16" s="435"/>
      <c r="N16" s="102" t="s">
        <v>282</v>
      </c>
      <c r="O16" s="440"/>
      <c r="P16" s="441"/>
      <c r="Q16" s="442"/>
      <c r="R16" s="316"/>
      <c r="S16" s="317"/>
      <c r="T16" s="318"/>
      <c r="U16" s="87">
        <f>ID_8!B24</f>
        <v>415728063.05170238</v>
      </c>
      <c r="V16" s="87">
        <f>ID_8!C24</f>
        <v>35179760.403530896</v>
      </c>
      <c r="W16" s="87">
        <f t="shared" si="0"/>
        <v>450907823.45523328</v>
      </c>
      <c r="X16" s="334"/>
      <c r="Y16" s="335"/>
      <c r="Z16" s="336"/>
      <c r="AA16" s="375"/>
      <c r="AB16" s="376"/>
      <c r="AC16" s="377"/>
      <c r="AD16" s="316"/>
      <c r="AE16" s="317"/>
      <c r="AF16" s="318"/>
      <c r="AG16" s="87">
        <f>ID_8!F24</f>
        <v>126069.35687263556</v>
      </c>
      <c r="AH16" s="87">
        <f>ID_8!G24</f>
        <v>47094.577553593947</v>
      </c>
      <c r="AI16" s="87">
        <f t="shared" si="1"/>
        <v>173163.93442622951</v>
      </c>
      <c r="AJ16" s="334"/>
      <c r="AK16" s="335"/>
      <c r="AL16" s="336"/>
      <c r="AM16" s="92"/>
      <c r="AN16" s="92"/>
      <c r="AO16" s="412"/>
      <c r="AP16" s="409"/>
      <c r="AQ16" s="386"/>
      <c r="AR16" s="183">
        <f>(W16/(IMF!G52*(J16/366)))*100</f>
        <v>0.24163541694490601</v>
      </c>
    </row>
    <row r="17" spans="1:44" ht="40.049999999999997" customHeight="1">
      <c r="A17" s="448"/>
      <c r="B17" s="448"/>
      <c r="C17" s="448"/>
      <c r="D17" s="382"/>
      <c r="E17" s="382"/>
      <c r="F17" s="382"/>
      <c r="G17" s="452"/>
      <c r="H17" s="453"/>
      <c r="I17" s="102" t="s">
        <v>281</v>
      </c>
      <c r="J17" s="155">
        <v>54</v>
      </c>
      <c r="K17" s="382"/>
      <c r="L17" s="382"/>
      <c r="M17" s="435"/>
      <c r="N17" s="102" t="s">
        <v>281</v>
      </c>
      <c r="O17" s="440"/>
      <c r="P17" s="441"/>
      <c r="Q17" s="442"/>
      <c r="R17" s="316"/>
      <c r="S17" s="317"/>
      <c r="T17" s="318"/>
      <c r="U17" s="87">
        <f>ID_8!B25</f>
        <v>23676080</v>
      </c>
      <c r="V17" s="87">
        <f>ID_8!C25</f>
        <v>16394024.347826088</v>
      </c>
      <c r="W17" s="87">
        <f t="shared" si="0"/>
        <v>40070104.347826086</v>
      </c>
      <c r="X17" s="334"/>
      <c r="Y17" s="335"/>
      <c r="Z17" s="336"/>
      <c r="AA17" s="375"/>
      <c r="AB17" s="376"/>
      <c r="AC17" s="377"/>
      <c r="AD17" s="316"/>
      <c r="AE17" s="317"/>
      <c r="AF17" s="318"/>
      <c r="AG17" s="87">
        <f>ID_8!F25</f>
        <v>41911.304347826088</v>
      </c>
      <c r="AH17" s="87">
        <f>ID_8!G25</f>
        <v>65840</v>
      </c>
      <c r="AI17" s="87">
        <f t="shared" si="1"/>
        <v>107751.30434782608</v>
      </c>
      <c r="AJ17" s="334"/>
      <c r="AK17" s="335"/>
      <c r="AL17" s="336"/>
      <c r="AM17" s="92"/>
      <c r="AN17" s="92"/>
      <c r="AO17" s="412"/>
      <c r="AP17" s="409"/>
      <c r="AQ17" s="386"/>
      <c r="AR17" s="183">
        <f>(W17/(IMF!G56*(J17/366)))*100</f>
        <v>7.7925365416124812E-2</v>
      </c>
    </row>
    <row r="18" spans="1:44" ht="40.049999999999997" customHeight="1">
      <c r="A18" s="448"/>
      <c r="B18" s="448"/>
      <c r="C18" s="448"/>
      <c r="D18" s="382"/>
      <c r="E18" s="382"/>
      <c r="F18" s="382"/>
      <c r="G18" s="452"/>
      <c r="H18" s="453"/>
      <c r="I18" s="102" t="s">
        <v>280</v>
      </c>
      <c r="J18" s="155">
        <v>68</v>
      </c>
      <c r="K18" s="382"/>
      <c r="L18" s="382"/>
      <c r="M18" s="435"/>
      <c r="N18" s="102" t="s">
        <v>280</v>
      </c>
      <c r="O18" s="440"/>
      <c r="P18" s="441"/>
      <c r="Q18" s="442"/>
      <c r="R18" s="316"/>
      <c r="S18" s="317"/>
      <c r="T18" s="318"/>
      <c r="U18" s="87">
        <f>ID_8!B26</f>
        <v>1292810006.4516129</v>
      </c>
      <c r="V18" s="87">
        <f>ID_8!C26</f>
        <v>499888850</v>
      </c>
      <c r="W18" s="87">
        <f t="shared" si="0"/>
        <v>1792698856.4516129</v>
      </c>
      <c r="X18" s="334"/>
      <c r="Y18" s="335"/>
      <c r="Z18" s="336"/>
      <c r="AA18" s="375"/>
      <c r="AB18" s="376"/>
      <c r="AC18" s="377"/>
      <c r="AD18" s="316"/>
      <c r="AE18" s="317"/>
      <c r="AF18" s="318"/>
      <c r="AG18" s="87">
        <f>ID_8!F26</f>
        <v>77841.93548387097</v>
      </c>
      <c r="AH18" s="87">
        <f>ID_8!G26</f>
        <v>81804.838709677424</v>
      </c>
      <c r="AI18" s="87">
        <f t="shared" si="1"/>
        <v>159646.77419354839</v>
      </c>
      <c r="AJ18" s="334"/>
      <c r="AK18" s="335"/>
      <c r="AL18" s="336"/>
      <c r="AM18" s="92"/>
      <c r="AN18" s="92"/>
      <c r="AO18" s="412"/>
      <c r="AP18" s="409"/>
      <c r="AQ18" s="386"/>
      <c r="AR18" s="183">
        <f>(W18/(IMF!G66*(J18/366)))*100</f>
        <v>0.53445941996550472</v>
      </c>
    </row>
    <row r="19" spans="1:44" ht="40.049999999999997" customHeight="1">
      <c r="A19" s="448"/>
      <c r="B19" s="448"/>
      <c r="C19" s="448"/>
      <c r="D19" s="382"/>
      <c r="E19" s="382"/>
      <c r="F19" s="382"/>
      <c r="G19" s="452"/>
      <c r="H19" s="453"/>
      <c r="I19" s="101" t="s">
        <v>279</v>
      </c>
      <c r="J19" s="155">
        <v>68</v>
      </c>
      <c r="K19" s="382"/>
      <c r="L19" s="382"/>
      <c r="M19" s="435"/>
      <c r="N19" s="101" t="s">
        <v>279</v>
      </c>
      <c r="O19" s="440"/>
      <c r="P19" s="441"/>
      <c r="Q19" s="442"/>
      <c r="R19" s="316"/>
      <c r="S19" s="317"/>
      <c r="T19" s="318"/>
      <c r="U19" s="87">
        <f>ID_8!B27</f>
        <v>125346981.51758452</v>
      </c>
      <c r="V19" s="87">
        <f>ID_8!C27</f>
        <v>1298246.5983037432</v>
      </c>
      <c r="W19" s="87">
        <f t="shared" si="0"/>
        <v>126645228.11588827</v>
      </c>
      <c r="X19" s="334"/>
      <c r="Y19" s="335"/>
      <c r="Z19" s="336"/>
      <c r="AA19" s="375"/>
      <c r="AB19" s="376"/>
      <c r="AC19" s="377"/>
      <c r="AD19" s="316"/>
      <c r="AE19" s="317"/>
      <c r="AF19" s="318"/>
      <c r="AG19" s="87">
        <f>ID_8!F27</f>
        <v>110945.85439330543</v>
      </c>
      <c r="AH19" s="87">
        <f>ID_8!G27</f>
        <v>16903.968517471447</v>
      </c>
      <c r="AI19" s="87">
        <f t="shared" si="1"/>
        <v>127849.82291077689</v>
      </c>
      <c r="AJ19" s="334"/>
      <c r="AK19" s="335"/>
      <c r="AL19" s="336"/>
      <c r="AM19" s="92"/>
      <c r="AN19" s="92"/>
      <c r="AO19" s="412"/>
      <c r="AP19" s="409"/>
      <c r="AQ19" s="386"/>
      <c r="AR19" s="183">
        <f>(W19/(IMF!G69*(J19/366)))*100</f>
        <v>0.11963587342884255</v>
      </c>
    </row>
    <row r="20" spans="1:44" ht="40.049999999999997" customHeight="1" thickBot="1">
      <c r="A20" s="417"/>
      <c r="B20" s="417"/>
      <c r="C20" s="417"/>
      <c r="D20" s="350"/>
      <c r="E20" s="350"/>
      <c r="F20" s="350"/>
      <c r="G20" s="454"/>
      <c r="H20" s="455"/>
      <c r="I20" s="100" t="s">
        <v>278</v>
      </c>
      <c r="J20" s="156">
        <v>68</v>
      </c>
      <c r="K20" s="350"/>
      <c r="L20" s="350"/>
      <c r="M20" s="436"/>
      <c r="N20" s="100" t="s">
        <v>278</v>
      </c>
      <c r="O20" s="443"/>
      <c r="P20" s="444"/>
      <c r="Q20" s="445"/>
      <c r="R20" s="319"/>
      <c r="S20" s="320"/>
      <c r="T20" s="321"/>
      <c r="U20" s="98">
        <f>ID_8!B28</f>
        <v>33565108.325872876</v>
      </c>
      <c r="V20" s="98">
        <f>ID_8!C28</f>
        <v>17817281.110116385</v>
      </c>
      <c r="W20" s="98">
        <f t="shared" si="0"/>
        <v>51382389.435989261</v>
      </c>
      <c r="X20" s="337"/>
      <c r="Y20" s="338"/>
      <c r="Z20" s="339"/>
      <c r="AA20" s="378"/>
      <c r="AB20" s="379"/>
      <c r="AC20" s="380"/>
      <c r="AD20" s="319"/>
      <c r="AE20" s="320"/>
      <c r="AF20" s="321"/>
      <c r="AG20" s="98">
        <f>ID_8!F28</f>
        <v>201592.65890778872</v>
      </c>
      <c r="AH20" s="98">
        <f>ID_8!G28</f>
        <v>152284.69113697403</v>
      </c>
      <c r="AI20" s="98">
        <f t="shared" si="1"/>
        <v>353877.35004476272</v>
      </c>
      <c r="AJ20" s="337"/>
      <c r="AK20" s="338"/>
      <c r="AL20" s="339"/>
      <c r="AM20" s="67"/>
      <c r="AN20" s="67"/>
      <c r="AO20" s="403"/>
      <c r="AP20" s="387"/>
      <c r="AQ20" s="388"/>
      <c r="AR20" s="185">
        <f>(W20/(IMF!G70*(J20/366)))*100</f>
        <v>4.4383876699026902E-2</v>
      </c>
    </row>
    <row r="21" spans="1:44" ht="40.049999999999997" customHeight="1">
      <c r="A21" s="351" t="s">
        <v>113</v>
      </c>
      <c r="B21" s="351" t="s">
        <v>523</v>
      </c>
      <c r="C21" s="434">
        <v>9</v>
      </c>
      <c r="D21" s="351" t="s">
        <v>277</v>
      </c>
      <c r="E21" s="351" t="s">
        <v>276</v>
      </c>
      <c r="F21" s="351" t="s">
        <v>275</v>
      </c>
      <c r="G21" s="391" t="s">
        <v>328</v>
      </c>
      <c r="H21" s="392"/>
      <c r="I21" s="457" t="s">
        <v>524</v>
      </c>
      <c r="J21" s="446">
        <v>91</v>
      </c>
      <c r="K21" s="351" t="s">
        <v>112</v>
      </c>
      <c r="L21" s="351" t="s">
        <v>274</v>
      </c>
      <c r="M21" s="353"/>
      <c r="N21" s="351"/>
      <c r="O21" s="86" t="s">
        <v>9</v>
      </c>
      <c r="P21" s="86" t="s">
        <v>10</v>
      </c>
      <c r="Q21" s="86" t="s">
        <v>13</v>
      </c>
      <c r="R21" s="85" t="s">
        <v>9</v>
      </c>
      <c r="S21" s="85" t="s">
        <v>10</v>
      </c>
      <c r="T21" s="85" t="s">
        <v>13</v>
      </c>
      <c r="U21" s="84" t="s">
        <v>9</v>
      </c>
      <c r="V21" s="84" t="s">
        <v>10</v>
      </c>
      <c r="W21" s="84" t="s">
        <v>13</v>
      </c>
      <c r="X21" s="83" t="s">
        <v>9</v>
      </c>
      <c r="Y21" s="83" t="s">
        <v>10</v>
      </c>
      <c r="Z21" s="83" t="s">
        <v>13</v>
      </c>
      <c r="AA21" s="86" t="s">
        <v>9</v>
      </c>
      <c r="AB21" s="86" t="s">
        <v>10</v>
      </c>
      <c r="AC21" s="86" t="s">
        <v>13</v>
      </c>
      <c r="AD21" s="85" t="s">
        <v>9</v>
      </c>
      <c r="AE21" s="85" t="s">
        <v>10</v>
      </c>
      <c r="AF21" s="85" t="s">
        <v>13</v>
      </c>
      <c r="AG21" s="84" t="s">
        <v>9</v>
      </c>
      <c r="AH21" s="84" t="s">
        <v>10</v>
      </c>
      <c r="AI21" s="84" t="s">
        <v>13</v>
      </c>
      <c r="AJ21" s="83" t="s">
        <v>9</v>
      </c>
      <c r="AK21" s="83" t="s">
        <v>10</v>
      </c>
      <c r="AL21" s="83" t="s">
        <v>13</v>
      </c>
      <c r="AM21" s="96" t="s">
        <v>509</v>
      </c>
      <c r="AN21" s="96">
        <f>ID_9!A8</f>
        <v>623067834394.90442</v>
      </c>
      <c r="AO21" s="402">
        <f>Q22+AN21+AN22</f>
        <v>623585647558.38647</v>
      </c>
      <c r="AP21" s="397" t="s">
        <v>328</v>
      </c>
      <c r="AQ21" s="398"/>
      <c r="AR21" s="414">
        <f>(AO21/(IMF!G17*(J21/366)))*100</f>
        <v>10.365429690954743</v>
      </c>
    </row>
    <row r="22" spans="1:44" ht="40.049999999999997" customHeight="1" thickBot="1">
      <c r="A22" s="352"/>
      <c r="B22" s="352"/>
      <c r="C22" s="352"/>
      <c r="D22" s="352"/>
      <c r="E22" s="352"/>
      <c r="F22" s="352"/>
      <c r="G22" s="393"/>
      <c r="H22" s="394"/>
      <c r="I22" s="458"/>
      <c r="J22" s="447"/>
      <c r="K22" s="352"/>
      <c r="L22" s="352"/>
      <c r="M22" s="354"/>
      <c r="N22" s="352"/>
      <c r="O22" s="342"/>
      <c r="P22" s="343"/>
      <c r="Q22" s="76">
        <f>ID_9!G8</f>
        <v>424833687.19037509</v>
      </c>
      <c r="R22" s="340" t="s">
        <v>114</v>
      </c>
      <c r="S22" s="401"/>
      <c r="T22" s="341"/>
      <c r="U22" s="307" t="s">
        <v>114</v>
      </c>
      <c r="V22" s="308"/>
      <c r="W22" s="309"/>
      <c r="X22" s="310" t="s">
        <v>114</v>
      </c>
      <c r="Y22" s="311"/>
      <c r="Z22" s="312"/>
      <c r="AA22" s="342" t="s">
        <v>114</v>
      </c>
      <c r="AB22" s="400"/>
      <c r="AC22" s="343"/>
      <c r="AD22" s="340" t="s">
        <v>114</v>
      </c>
      <c r="AE22" s="401"/>
      <c r="AF22" s="341"/>
      <c r="AG22" s="307" t="s">
        <v>114</v>
      </c>
      <c r="AH22" s="308"/>
      <c r="AI22" s="309"/>
      <c r="AJ22" s="310" t="s">
        <v>114</v>
      </c>
      <c r="AK22" s="311"/>
      <c r="AL22" s="312"/>
      <c r="AM22" s="62" t="s">
        <v>510</v>
      </c>
      <c r="AN22" s="62">
        <f>ID_9!D8</f>
        <v>92979476.291578203</v>
      </c>
      <c r="AO22" s="403"/>
      <c r="AP22" s="387"/>
      <c r="AQ22" s="388"/>
      <c r="AR22" s="415"/>
    </row>
    <row r="23" spans="1:44" ht="40.049999999999997" customHeight="1">
      <c r="A23" s="416" t="s">
        <v>113</v>
      </c>
      <c r="B23" s="349" t="s">
        <v>523</v>
      </c>
      <c r="C23" s="416">
        <v>10</v>
      </c>
      <c r="D23" s="416" t="s">
        <v>22</v>
      </c>
      <c r="E23" s="416" t="s">
        <v>23</v>
      </c>
      <c r="F23" s="430" t="s">
        <v>89</v>
      </c>
      <c r="G23" s="486" t="s">
        <v>334</v>
      </c>
      <c r="H23" s="487"/>
      <c r="I23" s="179" t="s">
        <v>524</v>
      </c>
      <c r="J23" s="180">
        <v>334</v>
      </c>
      <c r="K23" s="416" t="s">
        <v>111</v>
      </c>
      <c r="L23" s="416" t="s">
        <v>78</v>
      </c>
      <c r="M23" s="418"/>
      <c r="N23" s="416"/>
      <c r="O23" s="75" t="s">
        <v>9</v>
      </c>
      <c r="P23" s="75" t="s">
        <v>10</v>
      </c>
      <c r="Q23" s="75" t="s">
        <v>13</v>
      </c>
      <c r="R23" s="74" t="s">
        <v>9</v>
      </c>
      <c r="S23" s="74" t="s">
        <v>10</v>
      </c>
      <c r="T23" s="74" t="s">
        <v>13</v>
      </c>
      <c r="U23" s="73" t="s">
        <v>9</v>
      </c>
      <c r="V23" s="73" t="s">
        <v>10</v>
      </c>
      <c r="W23" s="73" t="s">
        <v>13</v>
      </c>
      <c r="X23" s="72" t="s">
        <v>9</v>
      </c>
      <c r="Y23" s="72" t="s">
        <v>10</v>
      </c>
      <c r="Z23" s="72" t="s">
        <v>13</v>
      </c>
      <c r="AA23" s="75" t="s">
        <v>9</v>
      </c>
      <c r="AB23" s="75" t="s">
        <v>10</v>
      </c>
      <c r="AC23" s="75" t="s">
        <v>13</v>
      </c>
      <c r="AD23" s="74" t="s">
        <v>9</v>
      </c>
      <c r="AE23" s="74" t="s">
        <v>10</v>
      </c>
      <c r="AF23" s="74" t="s">
        <v>13</v>
      </c>
      <c r="AG23" s="73" t="s">
        <v>9</v>
      </c>
      <c r="AH23" s="73" t="s">
        <v>10</v>
      </c>
      <c r="AI23" s="73" t="s">
        <v>13</v>
      </c>
      <c r="AJ23" s="72" t="s">
        <v>9</v>
      </c>
      <c r="AK23" s="72" t="s">
        <v>10</v>
      </c>
      <c r="AL23" s="72" t="s">
        <v>13</v>
      </c>
      <c r="AM23" s="64"/>
      <c r="AN23" s="64"/>
      <c r="AO23" s="402">
        <f>Q24+T24</f>
        <v>277585685.9421308</v>
      </c>
      <c r="AP23" s="38" t="s">
        <v>163</v>
      </c>
      <c r="AQ23" s="146">
        <f>(Q24/AO23)*100</f>
        <v>53.148886436328269</v>
      </c>
      <c r="AR23" s="406">
        <f>(AO23/((GSDP_India!B25*(J23/366))+GSDP_India!C25+(GSDP_India!D25*(J24/365))))*100</f>
        <v>2.6365823679252966E-2</v>
      </c>
    </row>
    <row r="24" spans="1:44" ht="40.049999999999997" customHeight="1" thickBot="1">
      <c r="A24" s="417"/>
      <c r="B24" s="350"/>
      <c r="C24" s="417"/>
      <c r="D24" s="417"/>
      <c r="E24" s="417"/>
      <c r="F24" s="431"/>
      <c r="G24" s="488"/>
      <c r="H24" s="489"/>
      <c r="I24" s="99" t="s">
        <v>335</v>
      </c>
      <c r="J24" s="143">
        <v>7</v>
      </c>
      <c r="K24" s="417"/>
      <c r="L24" s="417"/>
      <c r="M24" s="419"/>
      <c r="N24" s="417"/>
      <c r="O24" s="71">
        <f>Age_int!L12</f>
        <v>124809985.1042833</v>
      </c>
      <c r="P24" s="71">
        <f>Age_int!M12</f>
        <v>22723715.880602643</v>
      </c>
      <c r="Q24" s="71">
        <f>Age_int!N12</f>
        <v>147533700.98488593</v>
      </c>
      <c r="R24" s="70">
        <f>Age_int!P12</f>
        <v>99674847.060013622</v>
      </c>
      <c r="S24" s="70">
        <f>Age_int!Q12</f>
        <v>30377137.897231229</v>
      </c>
      <c r="T24" s="70">
        <f>Age_int!R12</f>
        <v>130051984.95724484</v>
      </c>
      <c r="U24" s="363" t="s">
        <v>114</v>
      </c>
      <c r="V24" s="364"/>
      <c r="W24" s="365"/>
      <c r="X24" s="370" t="s">
        <v>114</v>
      </c>
      <c r="Y24" s="381"/>
      <c r="Z24" s="371"/>
      <c r="AA24" s="345"/>
      <c r="AB24" s="346"/>
      <c r="AC24" s="71">
        <f>Q24/ID_10!J4</f>
        <v>7427.1899408420222</v>
      </c>
      <c r="AD24" s="360"/>
      <c r="AE24" s="362"/>
      <c r="AF24" s="70">
        <f>T24/ID_10!J5</f>
        <v>75.966852530317553</v>
      </c>
      <c r="AG24" s="363" t="s">
        <v>114</v>
      </c>
      <c r="AH24" s="364"/>
      <c r="AI24" s="365"/>
      <c r="AJ24" s="370" t="s">
        <v>114</v>
      </c>
      <c r="AK24" s="381"/>
      <c r="AL24" s="371"/>
      <c r="AM24" s="62"/>
      <c r="AN24" s="62"/>
      <c r="AO24" s="403"/>
      <c r="AP24" s="36" t="s">
        <v>164</v>
      </c>
      <c r="AQ24" s="152">
        <f>(T24/AO23)*100</f>
        <v>46.851113563671724</v>
      </c>
      <c r="AR24" s="390"/>
    </row>
    <row r="25" spans="1:44" ht="43.05" customHeight="1">
      <c r="A25" s="351" t="s">
        <v>113</v>
      </c>
      <c r="B25" s="351" t="s">
        <v>523</v>
      </c>
      <c r="C25" s="434">
        <v>11</v>
      </c>
      <c r="D25" s="351" t="s">
        <v>25</v>
      </c>
      <c r="E25" s="351" t="s">
        <v>26</v>
      </c>
      <c r="F25" s="351" t="s">
        <v>90</v>
      </c>
      <c r="G25" s="391" t="s">
        <v>328</v>
      </c>
      <c r="H25" s="392"/>
      <c r="I25" s="178" t="s">
        <v>524</v>
      </c>
      <c r="J25" s="177">
        <v>337</v>
      </c>
      <c r="K25" s="351" t="s">
        <v>111</v>
      </c>
      <c r="L25" s="351" t="s">
        <v>78</v>
      </c>
      <c r="M25" s="353" t="s">
        <v>533</v>
      </c>
      <c r="N25" s="351"/>
      <c r="O25" s="86" t="s">
        <v>9</v>
      </c>
      <c r="P25" s="86" t="s">
        <v>10</v>
      </c>
      <c r="Q25" s="86" t="s">
        <v>13</v>
      </c>
      <c r="R25" s="85" t="s">
        <v>9</v>
      </c>
      <c r="S25" s="85" t="s">
        <v>10</v>
      </c>
      <c r="T25" s="85" t="s">
        <v>13</v>
      </c>
      <c r="U25" s="84" t="s">
        <v>9</v>
      </c>
      <c r="V25" s="84" t="s">
        <v>10</v>
      </c>
      <c r="W25" s="84" t="s">
        <v>13</v>
      </c>
      <c r="X25" s="83" t="s">
        <v>9</v>
      </c>
      <c r="Y25" s="83" t="s">
        <v>10</v>
      </c>
      <c r="Z25" s="83" t="s">
        <v>13</v>
      </c>
      <c r="AA25" s="86" t="s">
        <v>9</v>
      </c>
      <c r="AB25" s="86" t="s">
        <v>10</v>
      </c>
      <c r="AC25" s="86" t="s">
        <v>13</v>
      </c>
      <c r="AD25" s="85" t="s">
        <v>9</v>
      </c>
      <c r="AE25" s="85" t="s">
        <v>10</v>
      </c>
      <c r="AF25" s="85" t="s">
        <v>13</v>
      </c>
      <c r="AG25" s="84" t="s">
        <v>9</v>
      </c>
      <c r="AH25" s="84" t="s">
        <v>10</v>
      </c>
      <c r="AI25" s="84" t="s">
        <v>13</v>
      </c>
      <c r="AJ25" s="83" t="s">
        <v>9</v>
      </c>
      <c r="AK25" s="83" t="s">
        <v>10</v>
      </c>
      <c r="AL25" s="83" t="s">
        <v>13</v>
      </c>
      <c r="AM25" s="64"/>
      <c r="AN25" s="64"/>
      <c r="AO25" s="402">
        <f>Q26+T26</f>
        <v>630564363.49524856</v>
      </c>
      <c r="AP25" s="38" t="s">
        <v>163</v>
      </c>
      <c r="AQ25" s="146">
        <f>(Q26/AO25)*100</f>
        <v>11.712969400606923</v>
      </c>
      <c r="AR25" s="399">
        <f>(AO25/((GSDP_India!B24*(J25/366))+(GSDP_India!C24*(J26/365))))*100</f>
        <v>0.12542259359572261</v>
      </c>
    </row>
    <row r="26" spans="1:44" ht="46.95" customHeight="1" thickBot="1">
      <c r="A26" s="352"/>
      <c r="B26" s="352"/>
      <c r="C26" s="352"/>
      <c r="D26" s="352"/>
      <c r="E26" s="352"/>
      <c r="F26" s="352"/>
      <c r="G26" s="393"/>
      <c r="H26" s="394"/>
      <c r="I26" s="66" t="s">
        <v>525</v>
      </c>
      <c r="J26" s="139">
        <v>161</v>
      </c>
      <c r="K26" s="352"/>
      <c r="L26" s="352"/>
      <c r="M26" s="354"/>
      <c r="N26" s="352"/>
      <c r="O26" s="76">
        <f>Age_int!L17</f>
        <v>61752489.580463506</v>
      </c>
      <c r="P26" s="76">
        <f>Age_int!M17</f>
        <v>12105321.366866762</v>
      </c>
      <c r="Q26" s="76">
        <f>Age_int!N17</f>
        <v>73857810.947330266</v>
      </c>
      <c r="R26" s="82">
        <f>Age_int!P17</f>
        <v>480590504.65824115</v>
      </c>
      <c r="S26" s="82">
        <f>Age_int!Q17</f>
        <v>76116047.889677107</v>
      </c>
      <c r="T26" s="82">
        <f>Age_int!R17</f>
        <v>556706552.54791832</v>
      </c>
      <c r="U26" s="307" t="s">
        <v>114</v>
      </c>
      <c r="V26" s="308"/>
      <c r="W26" s="309"/>
      <c r="X26" s="310" t="s">
        <v>114</v>
      </c>
      <c r="Y26" s="311"/>
      <c r="Z26" s="312"/>
      <c r="AA26" s="342"/>
      <c r="AB26" s="343"/>
      <c r="AC26" s="76">
        <f>Q26/ID_11!J3</f>
        <v>40118.311215279886</v>
      </c>
      <c r="AD26" s="340"/>
      <c r="AE26" s="341"/>
      <c r="AF26" s="82">
        <f>T26/ID_11!J4</f>
        <v>12495.097018178352</v>
      </c>
      <c r="AG26" s="307" t="s">
        <v>114</v>
      </c>
      <c r="AH26" s="308"/>
      <c r="AI26" s="309"/>
      <c r="AJ26" s="310" t="s">
        <v>114</v>
      </c>
      <c r="AK26" s="311"/>
      <c r="AL26" s="312"/>
      <c r="AM26" s="67"/>
      <c r="AN26" s="67"/>
      <c r="AO26" s="403"/>
      <c r="AP26" s="36" t="s">
        <v>164</v>
      </c>
      <c r="AQ26" s="152">
        <f>(T26/AO25)*100</f>
        <v>88.287030599393077</v>
      </c>
      <c r="AR26" s="390"/>
    </row>
    <row r="27" spans="1:44" ht="40.049999999999997" customHeight="1">
      <c r="A27" s="349" t="s">
        <v>113</v>
      </c>
      <c r="B27" s="349" t="s">
        <v>523</v>
      </c>
      <c r="C27" s="349">
        <v>12</v>
      </c>
      <c r="D27" s="349" t="s">
        <v>27</v>
      </c>
      <c r="E27" s="349" t="s">
        <v>28</v>
      </c>
      <c r="F27" s="349" t="s">
        <v>91</v>
      </c>
      <c r="G27" s="476" t="s">
        <v>357</v>
      </c>
      <c r="H27" s="478"/>
      <c r="I27" s="349" t="s">
        <v>524</v>
      </c>
      <c r="J27" s="420">
        <v>99</v>
      </c>
      <c r="K27" s="349">
        <v>2020</v>
      </c>
      <c r="L27" s="349" t="s">
        <v>211</v>
      </c>
      <c r="M27" s="347"/>
      <c r="N27" s="349"/>
      <c r="O27" s="75" t="s">
        <v>9</v>
      </c>
      <c r="P27" s="75" t="s">
        <v>10</v>
      </c>
      <c r="Q27" s="75" t="s">
        <v>13</v>
      </c>
      <c r="R27" s="74" t="s">
        <v>9</v>
      </c>
      <c r="S27" s="74" t="s">
        <v>10</v>
      </c>
      <c r="T27" s="74" t="s">
        <v>13</v>
      </c>
      <c r="U27" s="73" t="s">
        <v>9</v>
      </c>
      <c r="V27" s="73" t="s">
        <v>10</v>
      </c>
      <c r="W27" s="73" t="s">
        <v>13</v>
      </c>
      <c r="X27" s="72" t="s">
        <v>9</v>
      </c>
      <c r="Y27" s="72" t="s">
        <v>10</v>
      </c>
      <c r="Z27" s="72" t="s">
        <v>13</v>
      </c>
      <c r="AA27" s="75" t="s">
        <v>9</v>
      </c>
      <c r="AB27" s="75" t="s">
        <v>10</v>
      </c>
      <c r="AC27" s="75" t="s">
        <v>13</v>
      </c>
      <c r="AD27" s="74" t="s">
        <v>9</v>
      </c>
      <c r="AE27" s="74" t="s">
        <v>10</v>
      </c>
      <c r="AF27" s="74" t="s">
        <v>13</v>
      </c>
      <c r="AG27" s="73" t="s">
        <v>9</v>
      </c>
      <c r="AH27" s="73" t="s">
        <v>10</v>
      </c>
      <c r="AI27" s="73" t="s">
        <v>13</v>
      </c>
      <c r="AJ27" s="72" t="s">
        <v>9</v>
      </c>
      <c r="AK27" s="72" t="s">
        <v>10</v>
      </c>
      <c r="AL27" s="72" t="s">
        <v>13</v>
      </c>
      <c r="AM27" s="64"/>
      <c r="AN27" s="64"/>
      <c r="AO27" s="402">
        <f>Q28</f>
        <v>19780290990.233002</v>
      </c>
      <c r="AP27" s="397" t="s">
        <v>328</v>
      </c>
      <c r="AQ27" s="398"/>
      <c r="AR27" s="399">
        <f>(AO27/(IMF!G77*(J27/366)))*100</f>
        <v>0.34722494717887853</v>
      </c>
    </row>
    <row r="28" spans="1:44" ht="40.049999999999997" customHeight="1" thickBot="1">
      <c r="A28" s="350"/>
      <c r="B28" s="350"/>
      <c r="C28" s="350"/>
      <c r="D28" s="350"/>
      <c r="E28" s="350"/>
      <c r="F28" s="350"/>
      <c r="G28" s="479"/>
      <c r="H28" s="480"/>
      <c r="I28" s="350"/>
      <c r="J28" s="421"/>
      <c r="K28" s="350"/>
      <c r="L28" s="350"/>
      <c r="M28" s="348"/>
      <c r="N28" s="350"/>
      <c r="O28" s="345"/>
      <c r="P28" s="346"/>
      <c r="Q28" s="71">
        <f>Age_int!N22</f>
        <v>19780290990.233002</v>
      </c>
      <c r="R28" s="360" t="s">
        <v>114</v>
      </c>
      <c r="S28" s="361"/>
      <c r="T28" s="362"/>
      <c r="U28" s="363" t="s">
        <v>114</v>
      </c>
      <c r="V28" s="364"/>
      <c r="W28" s="365"/>
      <c r="X28" s="370" t="s">
        <v>114</v>
      </c>
      <c r="Y28" s="381"/>
      <c r="Z28" s="371"/>
      <c r="AA28" s="345"/>
      <c r="AB28" s="346"/>
      <c r="AC28" s="69">
        <f>ID_12!E3</f>
        <v>292889</v>
      </c>
      <c r="AD28" s="360" t="s">
        <v>114</v>
      </c>
      <c r="AE28" s="361"/>
      <c r="AF28" s="362"/>
      <c r="AG28" s="363" t="s">
        <v>114</v>
      </c>
      <c r="AH28" s="364"/>
      <c r="AI28" s="365"/>
      <c r="AJ28" s="370" t="s">
        <v>114</v>
      </c>
      <c r="AK28" s="381"/>
      <c r="AL28" s="371"/>
      <c r="AM28" s="67"/>
      <c r="AN28" s="67"/>
      <c r="AO28" s="403"/>
      <c r="AP28" s="387"/>
      <c r="AQ28" s="388"/>
      <c r="AR28" s="390"/>
    </row>
    <row r="29" spans="1:44" ht="40.049999999999997" customHeight="1">
      <c r="A29" s="351" t="s">
        <v>113</v>
      </c>
      <c r="B29" s="351" t="s">
        <v>523</v>
      </c>
      <c r="C29" s="434">
        <v>13</v>
      </c>
      <c r="D29" s="351" t="s">
        <v>30</v>
      </c>
      <c r="E29" s="351" t="s">
        <v>31</v>
      </c>
      <c r="F29" s="351" t="s">
        <v>92</v>
      </c>
      <c r="G29" s="456" t="s">
        <v>358</v>
      </c>
      <c r="H29" s="481"/>
      <c r="I29" s="351" t="s">
        <v>524</v>
      </c>
      <c r="J29" s="395">
        <v>92</v>
      </c>
      <c r="K29" s="351" t="s">
        <v>112</v>
      </c>
      <c r="L29" s="351" t="s">
        <v>211</v>
      </c>
      <c r="M29" s="353"/>
      <c r="N29" s="351"/>
      <c r="O29" s="86" t="s">
        <v>9</v>
      </c>
      <c r="P29" s="86" t="s">
        <v>10</v>
      </c>
      <c r="Q29" s="86" t="s">
        <v>13</v>
      </c>
      <c r="R29" s="85" t="s">
        <v>9</v>
      </c>
      <c r="S29" s="85" t="s">
        <v>10</v>
      </c>
      <c r="T29" s="85" t="s">
        <v>13</v>
      </c>
      <c r="U29" s="84" t="s">
        <v>9</v>
      </c>
      <c r="V29" s="84" t="s">
        <v>10</v>
      </c>
      <c r="W29" s="84" t="s">
        <v>13</v>
      </c>
      <c r="X29" s="83" t="s">
        <v>9</v>
      </c>
      <c r="Y29" s="83" t="s">
        <v>10</v>
      </c>
      <c r="Z29" s="83" t="s">
        <v>13</v>
      </c>
      <c r="AA29" s="86" t="s">
        <v>9</v>
      </c>
      <c r="AB29" s="86" t="s">
        <v>10</v>
      </c>
      <c r="AC29" s="86" t="s">
        <v>13</v>
      </c>
      <c r="AD29" s="85" t="s">
        <v>9</v>
      </c>
      <c r="AE29" s="85" t="s">
        <v>10</v>
      </c>
      <c r="AF29" s="85" t="s">
        <v>13</v>
      </c>
      <c r="AG29" s="84" t="s">
        <v>9</v>
      </c>
      <c r="AH29" s="84" t="s">
        <v>10</v>
      </c>
      <c r="AI29" s="84" t="s">
        <v>13</v>
      </c>
      <c r="AJ29" s="83" t="s">
        <v>9</v>
      </c>
      <c r="AK29" s="83" t="s">
        <v>10</v>
      </c>
      <c r="AL29" s="83" t="s">
        <v>13</v>
      </c>
      <c r="AM29" s="64"/>
      <c r="AN29" s="64"/>
      <c r="AO29" s="402">
        <f>Q30</f>
        <v>9629234112</v>
      </c>
      <c r="AP29" s="397" t="s">
        <v>328</v>
      </c>
      <c r="AQ29" s="398"/>
      <c r="AR29" s="399">
        <f>(AO29/(IMF!G66*(J29/366)))*100</f>
        <v>2.1218770991142049</v>
      </c>
    </row>
    <row r="30" spans="1:44" ht="40.049999999999997" customHeight="1" thickBot="1">
      <c r="A30" s="352"/>
      <c r="B30" s="352"/>
      <c r="C30" s="352"/>
      <c r="D30" s="352"/>
      <c r="E30" s="352"/>
      <c r="F30" s="352"/>
      <c r="G30" s="482"/>
      <c r="H30" s="483"/>
      <c r="I30" s="352"/>
      <c r="J30" s="396"/>
      <c r="K30" s="352"/>
      <c r="L30" s="352"/>
      <c r="M30" s="354"/>
      <c r="N30" s="352"/>
      <c r="O30" s="342"/>
      <c r="P30" s="343"/>
      <c r="Q30" s="76">
        <f>Age_int!N27</f>
        <v>9629234112</v>
      </c>
      <c r="R30" s="340" t="s">
        <v>114</v>
      </c>
      <c r="S30" s="401"/>
      <c r="T30" s="341"/>
      <c r="U30" s="307" t="s">
        <v>114</v>
      </c>
      <c r="V30" s="308"/>
      <c r="W30" s="309"/>
      <c r="X30" s="310" t="s">
        <v>114</v>
      </c>
      <c r="Y30" s="311"/>
      <c r="Z30" s="312"/>
      <c r="AA30" s="342"/>
      <c r="AB30" s="343"/>
      <c r="AC30" s="76">
        <f>ID_13!E3</f>
        <v>470798</v>
      </c>
      <c r="AD30" s="340" t="s">
        <v>114</v>
      </c>
      <c r="AE30" s="401"/>
      <c r="AF30" s="341"/>
      <c r="AG30" s="307" t="s">
        <v>114</v>
      </c>
      <c r="AH30" s="308"/>
      <c r="AI30" s="309"/>
      <c r="AJ30" s="310" t="s">
        <v>114</v>
      </c>
      <c r="AK30" s="311"/>
      <c r="AL30" s="312"/>
      <c r="AM30" s="67"/>
      <c r="AN30" s="67"/>
      <c r="AO30" s="403"/>
      <c r="AP30" s="387"/>
      <c r="AQ30" s="388"/>
      <c r="AR30" s="390"/>
    </row>
    <row r="31" spans="1:44" ht="40.049999999999997" customHeight="1">
      <c r="A31" s="349" t="s">
        <v>113</v>
      </c>
      <c r="B31" s="349" t="s">
        <v>523</v>
      </c>
      <c r="C31" s="349">
        <v>14</v>
      </c>
      <c r="D31" s="349" t="s">
        <v>32</v>
      </c>
      <c r="E31" s="349" t="s">
        <v>33</v>
      </c>
      <c r="F31" s="349" t="s">
        <v>93</v>
      </c>
      <c r="G31" s="476" t="s">
        <v>357</v>
      </c>
      <c r="H31" s="478"/>
      <c r="I31" s="349" t="s">
        <v>524</v>
      </c>
      <c r="J31" s="420">
        <v>173</v>
      </c>
      <c r="K31" s="349">
        <v>2020</v>
      </c>
      <c r="L31" s="349" t="s">
        <v>211</v>
      </c>
      <c r="M31" s="347"/>
      <c r="N31" s="349"/>
      <c r="O31" s="75" t="s">
        <v>9</v>
      </c>
      <c r="P31" s="75" t="s">
        <v>10</v>
      </c>
      <c r="Q31" s="75" t="s">
        <v>13</v>
      </c>
      <c r="R31" s="74" t="s">
        <v>9</v>
      </c>
      <c r="S31" s="74" t="s">
        <v>10</v>
      </c>
      <c r="T31" s="74" t="s">
        <v>13</v>
      </c>
      <c r="U31" s="73" t="s">
        <v>9</v>
      </c>
      <c r="V31" s="73" t="s">
        <v>10</v>
      </c>
      <c r="W31" s="73" t="s">
        <v>13</v>
      </c>
      <c r="X31" s="72" t="s">
        <v>9</v>
      </c>
      <c r="Y31" s="72" t="s">
        <v>10</v>
      </c>
      <c r="Z31" s="72" t="s">
        <v>13</v>
      </c>
      <c r="AA31" s="75" t="s">
        <v>9</v>
      </c>
      <c r="AB31" s="75" t="s">
        <v>10</v>
      </c>
      <c r="AC31" s="75" t="s">
        <v>13</v>
      </c>
      <c r="AD31" s="74" t="s">
        <v>9</v>
      </c>
      <c r="AE31" s="74" t="s">
        <v>10</v>
      </c>
      <c r="AF31" s="74" t="s">
        <v>13</v>
      </c>
      <c r="AG31" s="73" t="s">
        <v>9</v>
      </c>
      <c r="AH31" s="73" t="s">
        <v>10</v>
      </c>
      <c r="AI31" s="73" t="s">
        <v>13</v>
      </c>
      <c r="AJ31" s="72" t="s">
        <v>9</v>
      </c>
      <c r="AK31" s="72" t="s">
        <v>10</v>
      </c>
      <c r="AL31" s="72" t="s">
        <v>13</v>
      </c>
      <c r="AM31" s="64"/>
      <c r="AN31" s="64"/>
      <c r="AO31" s="402">
        <f>Q32</f>
        <v>2037021173</v>
      </c>
      <c r="AP31" s="397" t="s">
        <v>328</v>
      </c>
      <c r="AQ31" s="398"/>
      <c r="AR31" s="399">
        <f>(AO31/(IMF!G13*(J31/366)))*100</f>
        <v>0.23104979327800232</v>
      </c>
    </row>
    <row r="32" spans="1:44" ht="40.049999999999997" customHeight="1" thickBot="1">
      <c r="A32" s="350"/>
      <c r="B32" s="350"/>
      <c r="C32" s="350"/>
      <c r="D32" s="350"/>
      <c r="E32" s="350"/>
      <c r="F32" s="350"/>
      <c r="G32" s="479"/>
      <c r="H32" s="480"/>
      <c r="I32" s="350"/>
      <c r="J32" s="421"/>
      <c r="K32" s="350"/>
      <c r="L32" s="350"/>
      <c r="M32" s="348"/>
      <c r="N32" s="350"/>
      <c r="O32" s="345"/>
      <c r="P32" s="346"/>
      <c r="Q32" s="71">
        <f>Age_int!N32</f>
        <v>2037021173</v>
      </c>
      <c r="R32" s="360" t="s">
        <v>114</v>
      </c>
      <c r="S32" s="361"/>
      <c r="T32" s="362"/>
      <c r="U32" s="363" t="s">
        <v>114</v>
      </c>
      <c r="V32" s="364"/>
      <c r="W32" s="365"/>
      <c r="X32" s="370" t="s">
        <v>114</v>
      </c>
      <c r="Y32" s="381"/>
      <c r="Z32" s="371"/>
      <c r="AA32" s="345"/>
      <c r="AB32" s="346"/>
      <c r="AC32" s="69">
        <f>ID_14!E3</f>
        <v>231217</v>
      </c>
      <c r="AD32" s="360" t="s">
        <v>114</v>
      </c>
      <c r="AE32" s="361"/>
      <c r="AF32" s="362"/>
      <c r="AG32" s="363" t="s">
        <v>114</v>
      </c>
      <c r="AH32" s="364"/>
      <c r="AI32" s="365"/>
      <c r="AJ32" s="370" t="s">
        <v>114</v>
      </c>
      <c r="AK32" s="381"/>
      <c r="AL32" s="371"/>
      <c r="AM32" s="67"/>
      <c r="AN32" s="67"/>
      <c r="AO32" s="403"/>
      <c r="AP32" s="387"/>
      <c r="AQ32" s="388"/>
      <c r="AR32" s="390"/>
    </row>
    <row r="33" spans="1:44" ht="40.049999999999997" customHeight="1">
      <c r="A33" s="351" t="s">
        <v>113</v>
      </c>
      <c r="B33" s="351" t="s">
        <v>523</v>
      </c>
      <c r="C33" s="434">
        <v>15</v>
      </c>
      <c r="D33" s="432" t="s">
        <v>35</v>
      </c>
      <c r="E33" s="351" t="s">
        <v>36</v>
      </c>
      <c r="F33" s="351" t="s">
        <v>94</v>
      </c>
      <c r="G33" s="391" t="s">
        <v>567</v>
      </c>
      <c r="H33" s="392"/>
      <c r="I33" s="351" t="s">
        <v>524</v>
      </c>
      <c r="J33" s="395">
        <v>55</v>
      </c>
      <c r="K33" s="351" t="s">
        <v>212</v>
      </c>
      <c r="L33" s="351" t="s">
        <v>211</v>
      </c>
      <c r="M33" s="357" t="s">
        <v>534</v>
      </c>
      <c r="N33" s="351"/>
      <c r="O33" s="86" t="s">
        <v>9</v>
      </c>
      <c r="P33" s="86" t="s">
        <v>10</v>
      </c>
      <c r="Q33" s="86" t="s">
        <v>13</v>
      </c>
      <c r="R33" s="85" t="s">
        <v>9</v>
      </c>
      <c r="S33" s="85" t="s">
        <v>10</v>
      </c>
      <c r="T33" s="85" t="s">
        <v>13</v>
      </c>
      <c r="U33" s="84" t="s">
        <v>9</v>
      </c>
      <c r="V33" s="84" t="s">
        <v>10</v>
      </c>
      <c r="W33" s="84" t="s">
        <v>13</v>
      </c>
      <c r="X33" s="83" t="s">
        <v>9</v>
      </c>
      <c r="Y33" s="83" t="s">
        <v>10</v>
      </c>
      <c r="Z33" s="83" t="s">
        <v>13</v>
      </c>
      <c r="AA33" s="86" t="s">
        <v>9</v>
      </c>
      <c r="AB33" s="86" t="s">
        <v>10</v>
      </c>
      <c r="AC33" s="86" t="s">
        <v>13</v>
      </c>
      <c r="AD33" s="85" t="s">
        <v>9</v>
      </c>
      <c r="AE33" s="85" t="s">
        <v>10</v>
      </c>
      <c r="AF33" s="85" t="s">
        <v>13</v>
      </c>
      <c r="AG33" s="84" t="s">
        <v>9</v>
      </c>
      <c r="AH33" s="84" t="s">
        <v>10</v>
      </c>
      <c r="AI33" s="84" t="s">
        <v>13</v>
      </c>
      <c r="AJ33" s="83" t="s">
        <v>9</v>
      </c>
      <c r="AK33" s="83" t="s">
        <v>10</v>
      </c>
      <c r="AL33" s="83" t="s">
        <v>13</v>
      </c>
      <c r="AM33" s="64"/>
      <c r="AN33" s="64"/>
      <c r="AO33" s="402">
        <f>Q34</f>
        <v>924346794</v>
      </c>
      <c r="AP33" s="397" t="s">
        <v>328</v>
      </c>
      <c r="AQ33" s="398"/>
      <c r="AR33" s="399">
        <f>(AO33/(IMF!G17*(J33/366)))*100</f>
        <v>2.5421714750115506E-2</v>
      </c>
    </row>
    <row r="34" spans="1:44" ht="40.049999999999997" customHeight="1" thickBot="1">
      <c r="A34" s="352"/>
      <c r="B34" s="352"/>
      <c r="C34" s="352"/>
      <c r="D34" s="433"/>
      <c r="E34" s="352"/>
      <c r="F34" s="352"/>
      <c r="G34" s="393"/>
      <c r="H34" s="394"/>
      <c r="I34" s="352"/>
      <c r="J34" s="396"/>
      <c r="K34" s="352"/>
      <c r="L34" s="352"/>
      <c r="M34" s="354"/>
      <c r="N34" s="352"/>
      <c r="O34" s="342"/>
      <c r="P34" s="343"/>
      <c r="Q34" s="76">
        <f>Age_int!N37</f>
        <v>924346794</v>
      </c>
      <c r="R34" s="340" t="s">
        <v>114</v>
      </c>
      <c r="S34" s="401"/>
      <c r="T34" s="341"/>
      <c r="U34" s="307" t="s">
        <v>114</v>
      </c>
      <c r="V34" s="308"/>
      <c r="W34" s="309"/>
      <c r="X34" s="310" t="s">
        <v>114</v>
      </c>
      <c r="Y34" s="311"/>
      <c r="Z34" s="312"/>
      <c r="AA34" s="342"/>
      <c r="AB34" s="343"/>
      <c r="AC34" s="57">
        <f>ID_15!E3</f>
        <v>356203</v>
      </c>
      <c r="AD34" s="340" t="s">
        <v>114</v>
      </c>
      <c r="AE34" s="401"/>
      <c r="AF34" s="341"/>
      <c r="AG34" s="307" t="s">
        <v>114</v>
      </c>
      <c r="AH34" s="308"/>
      <c r="AI34" s="309"/>
      <c r="AJ34" s="310" t="s">
        <v>114</v>
      </c>
      <c r="AK34" s="311"/>
      <c r="AL34" s="312"/>
      <c r="AM34" s="67"/>
      <c r="AN34" s="67"/>
      <c r="AO34" s="403"/>
      <c r="AP34" s="387"/>
      <c r="AQ34" s="388"/>
      <c r="AR34" s="390"/>
    </row>
    <row r="35" spans="1:44" ht="40.049999999999997" customHeight="1">
      <c r="A35" s="349" t="s">
        <v>113</v>
      </c>
      <c r="B35" s="349" t="s">
        <v>523</v>
      </c>
      <c r="C35" s="349">
        <v>16</v>
      </c>
      <c r="D35" s="416" t="s">
        <v>37</v>
      </c>
      <c r="E35" s="349" t="s">
        <v>38</v>
      </c>
      <c r="F35" s="349" t="s">
        <v>95</v>
      </c>
      <c r="G35" s="476" t="s">
        <v>334</v>
      </c>
      <c r="H35" s="478"/>
      <c r="I35" s="349" t="s">
        <v>524</v>
      </c>
      <c r="J35" s="420">
        <v>152</v>
      </c>
      <c r="K35" s="349" t="s">
        <v>212</v>
      </c>
      <c r="L35" s="349" t="s">
        <v>211</v>
      </c>
      <c r="M35" s="347"/>
      <c r="N35" s="349"/>
      <c r="O35" s="75" t="s">
        <v>9</v>
      </c>
      <c r="P35" s="75" t="s">
        <v>10</v>
      </c>
      <c r="Q35" s="75" t="s">
        <v>13</v>
      </c>
      <c r="R35" s="74" t="s">
        <v>9</v>
      </c>
      <c r="S35" s="74" t="s">
        <v>10</v>
      </c>
      <c r="T35" s="74" t="s">
        <v>13</v>
      </c>
      <c r="U35" s="73" t="s">
        <v>9</v>
      </c>
      <c r="V35" s="73" t="s">
        <v>10</v>
      </c>
      <c r="W35" s="73" t="s">
        <v>13</v>
      </c>
      <c r="X35" s="72" t="s">
        <v>9</v>
      </c>
      <c r="Y35" s="72" t="s">
        <v>10</v>
      </c>
      <c r="Z35" s="72" t="s">
        <v>13</v>
      </c>
      <c r="AA35" s="75" t="s">
        <v>9</v>
      </c>
      <c r="AB35" s="75" t="s">
        <v>10</v>
      </c>
      <c r="AC35" s="75" t="s">
        <v>13</v>
      </c>
      <c r="AD35" s="74" t="s">
        <v>9</v>
      </c>
      <c r="AE35" s="74" t="s">
        <v>10</v>
      </c>
      <c r="AF35" s="74" t="s">
        <v>13</v>
      </c>
      <c r="AG35" s="73" t="s">
        <v>9</v>
      </c>
      <c r="AH35" s="73" t="s">
        <v>10</v>
      </c>
      <c r="AI35" s="73" t="s">
        <v>13</v>
      </c>
      <c r="AJ35" s="72" t="s">
        <v>9</v>
      </c>
      <c r="AK35" s="72" t="s">
        <v>10</v>
      </c>
      <c r="AL35" s="72" t="s">
        <v>13</v>
      </c>
      <c r="AM35" s="64"/>
      <c r="AN35" s="64"/>
      <c r="AO35" s="402">
        <f>Q36</f>
        <v>9883426226</v>
      </c>
      <c r="AP35" s="397" t="s">
        <v>328</v>
      </c>
      <c r="AQ35" s="398"/>
      <c r="AR35" s="399">
        <f>(AO35/(IMF!G76*(J35/366)))*100</f>
        <v>0.80194185263378526</v>
      </c>
    </row>
    <row r="36" spans="1:44" ht="40.049999999999997" customHeight="1" thickBot="1">
      <c r="A36" s="350"/>
      <c r="B36" s="350"/>
      <c r="C36" s="350"/>
      <c r="D36" s="417"/>
      <c r="E36" s="350"/>
      <c r="F36" s="350"/>
      <c r="G36" s="479"/>
      <c r="H36" s="480"/>
      <c r="I36" s="350"/>
      <c r="J36" s="421"/>
      <c r="K36" s="350"/>
      <c r="L36" s="350"/>
      <c r="M36" s="348"/>
      <c r="N36" s="350"/>
      <c r="O36" s="345"/>
      <c r="P36" s="346"/>
      <c r="Q36" s="71">
        <f>Age_int!N42</f>
        <v>9883426226</v>
      </c>
      <c r="R36" s="360" t="s">
        <v>114</v>
      </c>
      <c r="S36" s="361"/>
      <c r="T36" s="362"/>
      <c r="U36" s="363" t="s">
        <v>114</v>
      </c>
      <c r="V36" s="364"/>
      <c r="W36" s="365"/>
      <c r="X36" s="370" t="s">
        <v>114</v>
      </c>
      <c r="Y36" s="381"/>
      <c r="Z36" s="371"/>
      <c r="AA36" s="345"/>
      <c r="AB36" s="346"/>
      <c r="AC36" s="71">
        <f>ID_16!E3</f>
        <v>225104</v>
      </c>
      <c r="AD36" s="360" t="s">
        <v>114</v>
      </c>
      <c r="AE36" s="361"/>
      <c r="AF36" s="362"/>
      <c r="AG36" s="363" t="s">
        <v>114</v>
      </c>
      <c r="AH36" s="364"/>
      <c r="AI36" s="365"/>
      <c r="AJ36" s="370" t="s">
        <v>114</v>
      </c>
      <c r="AK36" s="381"/>
      <c r="AL36" s="371"/>
      <c r="AM36" s="67"/>
      <c r="AN36" s="67"/>
      <c r="AO36" s="403"/>
      <c r="AP36" s="387"/>
      <c r="AQ36" s="388"/>
      <c r="AR36" s="390"/>
    </row>
    <row r="37" spans="1:44" ht="40.049999999999997" customHeight="1">
      <c r="A37" s="351" t="s">
        <v>113</v>
      </c>
      <c r="B37" s="351" t="s">
        <v>523</v>
      </c>
      <c r="C37" s="434">
        <v>17</v>
      </c>
      <c r="D37" s="351" t="s">
        <v>40</v>
      </c>
      <c r="E37" s="351" t="s">
        <v>41</v>
      </c>
      <c r="F37" s="351" t="s">
        <v>96</v>
      </c>
      <c r="G37" s="456" t="s">
        <v>328</v>
      </c>
      <c r="H37" s="481"/>
      <c r="I37" s="351" t="s">
        <v>524</v>
      </c>
      <c r="J37" s="395">
        <v>287</v>
      </c>
      <c r="K37" s="351" t="s">
        <v>212</v>
      </c>
      <c r="L37" s="351" t="s">
        <v>211</v>
      </c>
      <c r="M37" s="353"/>
      <c r="N37" s="351"/>
      <c r="O37" s="86" t="s">
        <v>9</v>
      </c>
      <c r="P37" s="86" t="s">
        <v>10</v>
      </c>
      <c r="Q37" s="86" t="s">
        <v>13</v>
      </c>
      <c r="R37" s="85" t="s">
        <v>9</v>
      </c>
      <c r="S37" s="85" t="s">
        <v>10</v>
      </c>
      <c r="T37" s="85" t="s">
        <v>13</v>
      </c>
      <c r="U37" s="84" t="s">
        <v>9</v>
      </c>
      <c r="V37" s="84" t="s">
        <v>10</v>
      </c>
      <c r="W37" s="84" t="s">
        <v>13</v>
      </c>
      <c r="X37" s="83" t="s">
        <v>9</v>
      </c>
      <c r="Y37" s="83" t="s">
        <v>10</v>
      </c>
      <c r="Z37" s="83" t="s">
        <v>13</v>
      </c>
      <c r="AA37" s="86" t="s">
        <v>9</v>
      </c>
      <c r="AB37" s="86" t="s">
        <v>10</v>
      </c>
      <c r="AC37" s="86" t="s">
        <v>13</v>
      </c>
      <c r="AD37" s="85" t="s">
        <v>9</v>
      </c>
      <c r="AE37" s="85" t="s">
        <v>10</v>
      </c>
      <c r="AF37" s="85" t="s">
        <v>13</v>
      </c>
      <c r="AG37" s="84" t="s">
        <v>9</v>
      </c>
      <c r="AH37" s="84" t="s">
        <v>10</v>
      </c>
      <c r="AI37" s="84" t="s">
        <v>13</v>
      </c>
      <c r="AJ37" s="83" t="s">
        <v>9</v>
      </c>
      <c r="AK37" s="83" t="s">
        <v>10</v>
      </c>
      <c r="AL37" s="83" t="s">
        <v>13</v>
      </c>
      <c r="AM37" s="64"/>
      <c r="AN37" s="64"/>
      <c r="AO37" s="402">
        <f>Q38</f>
        <v>1916725559</v>
      </c>
      <c r="AP37" s="397" t="s">
        <v>328</v>
      </c>
      <c r="AQ37" s="398"/>
      <c r="AR37" s="399">
        <f>(AO37/(IMF!G30*(J37/366)))*100</f>
        <v>5.3451759423828432E-2</v>
      </c>
    </row>
    <row r="38" spans="1:44" ht="40.049999999999997" customHeight="1" thickBot="1">
      <c r="A38" s="352"/>
      <c r="B38" s="352"/>
      <c r="C38" s="352"/>
      <c r="D38" s="352"/>
      <c r="E38" s="352"/>
      <c r="F38" s="352"/>
      <c r="G38" s="482"/>
      <c r="H38" s="483"/>
      <c r="I38" s="352"/>
      <c r="J38" s="396"/>
      <c r="K38" s="352"/>
      <c r="L38" s="352"/>
      <c r="M38" s="354"/>
      <c r="N38" s="352"/>
      <c r="O38" s="342"/>
      <c r="P38" s="343"/>
      <c r="Q38" s="76">
        <f>Age_int!N47</f>
        <v>1916725559</v>
      </c>
      <c r="R38" s="340" t="s">
        <v>114</v>
      </c>
      <c r="S38" s="401"/>
      <c r="T38" s="341"/>
      <c r="U38" s="307" t="s">
        <v>114</v>
      </c>
      <c r="V38" s="308"/>
      <c r="W38" s="309"/>
      <c r="X38" s="310" t="s">
        <v>114</v>
      </c>
      <c r="Y38" s="311"/>
      <c r="Z38" s="312"/>
      <c r="AA38" s="342"/>
      <c r="AB38" s="343"/>
      <c r="AC38" s="76">
        <f>ID_17!E3</f>
        <v>167619</v>
      </c>
      <c r="AD38" s="340" t="s">
        <v>114</v>
      </c>
      <c r="AE38" s="401"/>
      <c r="AF38" s="341"/>
      <c r="AG38" s="307" t="s">
        <v>114</v>
      </c>
      <c r="AH38" s="308"/>
      <c r="AI38" s="309"/>
      <c r="AJ38" s="310" t="s">
        <v>114</v>
      </c>
      <c r="AK38" s="311"/>
      <c r="AL38" s="312"/>
      <c r="AM38" s="67"/>
      <c r="AN38" s="67"/>
      <c r="AO38" s="403"/>
      <c r="AP38" s="387"/>
      <c r="AQ38" s="388"/>
      <c r="AR38" s="390"/>
    </row>
    <row r="39" spans="1:44" ht="40.049999999999997" customHeight="1">
      <c r="A39" s="349" t="s">
        <v>113</v>
      </c>
      <c r="B39" s="349" t="s">
        <v>523</v>
      </c>
      <c r="C39" s="349">
        <v>18</v>
      </c>
      <c r="D39" s="349" t="s">
        <v>42</v>
      </c>
      <c r="E39" s="349" t="s">
        <v>43</v>
      </c>
      <c r="F39" s="349" t="s">
        <v>97</v>
      </c>
      <c r="G39" s="476" t="s">
        <v>359</v>
      </c>
      <c r="H39" s="478"/>
      <c r="I39" s="349" t="s">
        <v>524</v>
      </c>
      <c r="J39" s="420">
        <v>49</v>
      </c>
      <c r="K39" s="349">
        <v>2020</v>
      </c>
      <c r="L39" s="349" t="s">
        <v>211</v>
      </c>
      <c r="M39" s="347"/>
      <c r="N39" s="349"/>
      <c r="O39" s="75" t="s">
        <v>9</v>
      </c>
      <c r="P39" s="75" t="s">
        <v>10</v>
      </c>
      <c r="Q39" s="75" t="s">
        <v>13</v>
      </c>
      <c r="R39" s="74" t="s">
        <v>9</v>
      </c>
      <c r="S39" s="74" t="s">
        <v>10</v>
      </c>
      <c r="T39" s="74" t="s">
        <v>13</v>
      </c>
      <c r="U39" s="73" t="s">
        <v>9</v>
      </c>
      <c r="V39" s="73" t="s">
        <v>10</v>
      </c>
      <c r="W39" s="73" t="s">
        <v>13</v>
      </c>
      <c r="X39" s="72" t="s">
        <v>9</v>
      </c>
      <c r="Y39" s="72" t="s">
        <v>10</v>
      </c>
      <c r="Z39" s="72" t="s">
        <v>13</v>
      </c>
      <c r="AA39" s="75" t="s">
        <v>9</v>
      </c>
      <c r="AB39" s="75" t="s">
        <v>10</v>
      </c>
      <c r="AC39" s="75" t="s">
        <v>13</v>
      </c>
      <c r="AD39" s="74" t="s">
        <v>9</v>
      </c>
      <c r="AE39" s="74" t="s">
        <v>10</v>
      </c>
      <c r="AF39" s="74" t="s">
        <v>13</v>
      </c>
      <c r="AG39" s="73" t="s">
        <v>9</v>
      </c>
      <c r="AH39" s="73" t="s">
        <v>10</v>
      </c>
      <c r="AI39" s="73" t="s">
        <v>13</v>
      </c>
      <c r="AJ39" s="72" t="s">
        <v>9</v>
      </c>
      <c r="AK39" s="72" t="s">
        <v>10</v>
      </c>
      <c r="AL39" s="72" t="s">
        <v>13</v>
      </c>
      <c r="AM39" s="64"/>
      <c r="AN39" s="64"/>
      <c r="AO39" s="402">
        <f>Q40</f>
        <v>436275007</v>
      </c>
      <c r="AP39" s="397" t="s">
        <v>328</v>
      </c>
      <c r="AQ39" s="398"/>
      <c r="AR39" s="399">
        <f>(AO39/(IMF!G36*(J39/366)))*100</f>
        <v>0.24494761943061336</v>
      </c>
    </row>
    <row r="40" spans="1:44" ht="40.049999999999997" customHeight="1" thickBot="1">
      <c r="A40" s="350"/>
      <c r="B40" s="350"/>
      <c r="C40" s="350"/>
      <c r="D40" s="350"/>
      <c r="E40" s="350"/>
      <c r="F40" s="350"/>
      <c r="G40" s="479"/>
      <c r="H40" s="480"/>
      <c r="I40" s="350"/>
      <c r="J40" s="421"/>
      <c r="K40" s="350"/>
      <c r="L40" s="350"/>
      <c r="M40" s="348"/>
      <c r="N40" s="350"/>
      <c r="O40" s="345"/>
      <c r="P40" s="346"/>
      <c r="Q40" s="71">
        <f>Age_int!N52</f>
        <v>436275007</v>
      </c>
      <c r="R40" s="360" t="s">
        <v>114</v>
      </c>
      <c r="S40" s="361"/>
      <c r="T40" s="362"/>
      <c r="U40" s="363" t="s">
        <v>114</v>
      </c>
      <c r="V40" s="364"/>
      <c r="W40" s="365"/>
      <c r="X40" s="370" t="s">
        <v>114</v>
      </c>
      <c r="Y40" s="381"/>
      <c r="Z40" s="371"/>
      <c r="AA40" s="345"/>
      <c r="AB40" s="346"/>
      <c r="AC40" s="71">
        <f>ID_18!E3</f>
        <v>103090</v>
      </c>
      <c r="AD40" s="360" t="s">
        <v>114</v>
      </c>
      <c r="AE40" s="361"/>
      <c r="AF40" s="362"/>
      <c r="AG40" s="363" t="s">
        <v>114</v>
      </c>
      <c r="AH40" s="364"/>
      <c r="AI40" s="365"/>
      <c r="AJ40" s="370" t="s">
        <v>114</v>
      </c>
      <c r="AK40" s="381"/>
      <c r="AL40" s="371"/>
      <c r="AM40" s="67"/>
      <c r="AN40" s="67"/>
      <c r="AO40" s="403"/>
      <c r="AP40" s="387"/>
      <c r="AQ40" s="388"/>
      <c r="AR40" s="390"/>
    </row>
    <row r="41" spans="1:44" ht="40.049999999999997" customHeight="1">
      <c r="A41" s="351" t="s">
        <v>113</v>
      </c>
      <c r="B41" s="351" t="s">
        <v>523</v>
      </c>
      <c r="C41" s="434">
        <v>19</v>
      </c>
      <c r="D41" s="351" t="s">
        <v>45</v>
      </c>
      <c r="E41" s="351" t="s">
        <v>46</v>
      </c>
      <c r="F41" s="351" t="s">
        <v>98</v>
      </c>
      <c r="G41" s="456" t="s">
        <v>360</v>
      </c>
      <c r="H41" s="481"/>
      <c r="I41" s="351" t="s">
        <v>524</v>
      </c>
      <c r="J41" s="395">
        <v>93</v>
      </c>
      <c r="K41" s="355" t="s">
        <v>112</v>
      </c>
      <c r="L41" s="351" t="s">
        <v>211</v>
      </c>
      <c r="M41" s="353"/>
      <c r="N41" s="351"/>
      <c r="O41" s="86" t="s">
        <v>9</v>
      </c>
      <c r="P41" s="86" t="s">
        <v>10</v>
      </c>
      <c r="Q41" s="86" t="s">
        <v>13</v>
      </c>
      <c r="R41" s="85" t="s">
        <v>9</v>
      </c>
      <c r="S41" s="85" t="s">
        <v>10</v>
      </c>
      <c r="T41" s="85" t="s">
        <v>13</v>
      </c>
      <c r="U41" s="84" t="s">
        <v>9</v>
      </c>
      <c r="V41" s="84" t="s">
        <v>10</v>
      </c>
      <c r="W41" s="84" t="s">
        <v>13</v>
      </c>
      <c r="X41" s="83" t="s">
        <v>9</v>
      </c>
      <c r="Y41" s="83" t="s">
        <v>10</v>
      </c>
      <c r="Z41" s="83" t="s">
        <v>13</v>
      </c>
      <c r="AA41" s="86" t="s">
        <v>9</v>
      </c>
      <c r="AB41" s="86" t="s">
        <v>10</v>
      </c>
      <c r="AC41" s="86" t="s">
        <v>13</v>
      </c>
      <c r="AD41" s="85" t="s">
        <v>9</v>
      </c>
      <c r="AE41" s="85" t="s">
        <v>10</v>
      </c>
      <c r="AF41" s="85" t="s">
        <v>13</v>
      </c>
      <c r="AG41" s="84" t="s">
        <v>9</v>
      </c>
      <c r="AH41" s="84" t="s">
        <v>10</v>
      </c>
      <c r="AI41" s="84" t="s">
        <v>13</v>
      </c>
      <c r="AJ41" s="83" t="s">
        <v>9</v>
      </c>
      <c r="AK41" s="83" t="s">
        <v>10</v>
      </c>
      <c r="AL41" s="83" t="s">
        <v>13</v>
      </c>
      <c r="AM41" s="64"/>
      <c r="AN41" s="64"/>
      <c r="AO41" s="402">
        <f>Q42</f>
        <v>1098469122</v>
      </c>
      <c r="AP41" s="397" t="s">
        <v>328</v>
      </c>
      <c r="AQ41" s="398"/>
      <c r="AR41" s="399">
        <f>(AO41/(IMF!G74*(J41/366)))*100</f>
        <v>0.16955364335306541</v>
      </c>
    </row>
    <row r="42" spans="1:44" ht="40.049999999999997" customHeight="1" thickBot="1">
      <c r="A42" s="352"/>
      <c r="B42" s="352"/>
      <c r="C42" s="352"/>
      <c r="D42" s="352"/>
      <c r="E42" s="352"/>
      <c r="F42" s="352"/>
      <c r="G42" s="482"/>
      <c r="H42" s="483"/>
      <c r="I42" s="352"/>
      <c r="J42" s="396"/>
      <c r="K42" s="356"/>
      <c r="L42" s="352"/>
      <c r="M42" s="354"/>
      <c r="N42" s="352"/>
      <c r="O42" s="342"/>
      <c r="P42" s="343"/>
      <c r="Q42" s="76">
        <f>Age_int!N57</f>
        <v>1098469122</v>
      </c>
      <c r="R42" s="340" t="s">
        <v>114</v>
      </c>
      <c r="S42" s="401"/>
      <c r="T42" s="341"/>
      <c r="U42" s="307" t="s">
        <v>114</v>
      </c>
      <c r="V42" s="308"/>
      <c r="W42" s="309"/>
      <c r="X42" s="310" t="s">
        <v>114</v>
      </c>
      <c r="Y42" s="311"/>
      <c r="Z42" s="312"/>
      <c r="AA42" s="342"/>
      <c r="AB42" s="343"/>
      <c r="AC42" s="76">
        <f>ID_19!E3</f>
        <v>228514</v>
      </c>
      <c r="AD42" s="340" t="s">
        <v>114</v>
      </c>
      <c r="AE42" s="401"/>
      <c r="AF42" s="341"/>
      <c r="AG42" s="307" t="s">
        <v>114</v>
      </c>
      <c r="AH42" s="308"/>
      <c r="AI42" s="309"/>
      <c r="AJ42" s="310" t="s">
        <v>114</v>
      </c>
      <c r="AK42" s="311"/>
      <c r="AL42" s="312"/>
      <c r="AM42" s="67"/>
      <c r="AN42" s="67"/>
      <c r="AO42" s="403"/>
      <c r="AP42" s="387"/>
      <c r="AQ42" s="388"/>
      <c r="AR42" s="390"/>
    </row>
    <row r="43" spans="1:44" ht="40.049999999999997" customHeight="1">
      <c r="A43" s="349" t="s">
        <v>113</v>
      </c>
      <c r="B43" s="349" t="s">
        <v>523</v>
      </c>
      <c r="C43" s="349">
        <v>20</v>
      </c>
      <c r="D43" s="349" t="s">
        <v>47</v>
      </c>
      <c r="E43" s="349" t="s">
        <v>48</v>
      </c>
      <c r="F43" s="349" t="s">
        <v>99</v>
      </c>
      <c r="G43" s="476" t="s">
        <v>328</v>
      </c>
      <c r="H43" s="478"/>
      <c r="I43" s="349" t="s">
        <v>524</v>
      </c>
      <c r="J43" s="420">
        <v>203</v>
      </c>
      <c r="K43" s="349">
        <v>2020</v>
      </c>
      <c r="L43" s="349" t="s">
        <v>211</v>
      </c>
      <c r="M43" s="347"/>
      <c r="N43" s="349"/>
      <c r="O43" s="75" t="s">
        <v>9</v>
      </c>
      <c r="P43" s="75" t="s">
        <v>10</v>
      </c>
      <c r="Q43" s="75" t="s">
        <v>13</v>
      </c>
      <c r="R43" s="74" t="s">
        <v>9</v>
      </c>
      <c r="S43" s="74" t="s">
        <v>10</v>
      </c>
      <c r="T43" s="74" t="s">
        <v>13</v>
      </c>
      <c r="U43" s="73" t="s">
        <v>9</v>
      </c>
      <c r="V43" s="73" t="s">
        <v>10</v>
      </c>
      <c r="W43" s="73" t="s">
        <v>13</v>
      </c>
      <c r="X43" s="72" t="s">
        <v>9</v>
      </c>
      <c r="Y43" s="72" t="s">
        <v>10</v>
      </c>
      <c r="Z43" s="72" t="s">
        <v>13</v>
      </c>
      <c r="AA43" s="75" t="s">
        <v>9</v>
      </c>
      <c r="AB43" s="75" t="s">
        <v>10</v>
      </c>
      <c r="AC43" s="75" t="s">
        <v>13</v>
      </c>
      <c r="AD43" s="74" t="s">
        <v>9</v>
      </c>
      <c r="AE43" s="74" t="s">
        <v>10</v>
      </c>
      <c r="AF43" s="74" t="s">
        <v>13</v>
      </c>
      <c r="AG43" s="73" t="s">
        <v>9</v>
      </c>
      <c r="AH43" s="73" t="s">
        <v>10</v>
      </c>
      <c r="AI43" s="73" t="s">
        <v>13</v>
      </c>
      <c r="AJ43" s="72" t="s">
        <v>9</v>
      </c>
      <c r="AK43" s="72" t="s">
        <v>10</v>
      </c>
      <c r="AL43" s="72" t="s">
        <v>13</v>
      </c>
      <c r="AM43" s="64"/>
      <c r="AN43" s="64"/>
      <c r="AO43" s="402">
        <f>Q44</f>
        <v>13070141189</v>
      </c>
      <c r="AP43" s="397" t="s">
        <v>328</v>
      </c>
      <c r="AQ43" s="398"/>
      <c r="AR43" s="399">
        <f>(AO43/(IMF!G37*(J43/366)))*100</f>
        <v>0.95570577580770255</v>
      </c>
    </row>
    <row r="44" spans="1:44" ht="40.049999999999997" customHeight="1" thickBot="1">
      <c r="A44" s="350"/>
      <c r="B44" s="350"/>
      <c r="C44" s="350"/>
      <c r="D44" s="350"/>
      <c r="E44" s="350"/>
      <c r="F44" s="350"/>
      <c r="G44" s="479"/>
      <c r="H44" s="480"/>
      <c r="I44" s="350"/>
      <c r="J44" s="421"/>
      <c r="K44" s="350"/>
      <c r="L44" s="350"/>
      <c r="M44" s="348"/>
      <c r="N44" s="350"/>
      <c r="O44" s="345"/>
      <c r="P44" s="346"/>
      <c r="Q44" s="71">
        <f>Age_int!N62</f>
        <v>13070141189</v>
      </c>
      <c r="R44" s="360" t="s">
        <v>114</v>
      </c>
      <c r="S44" s="361"/>
      <c r="T44" s="362"/>
      <c r="U44" s="363" t="s">
        <v>114</v>
      </c>
      <c r="V44" s="364"/>
      <c r="W44" s="365"/>
      <c r="X44" s="370" t="s">
        <v>114</v>
      </c>
      <c r="Y44" s="381"/>
      <c r="Z44" s="371"/>
      <c r="AA44" s="345"/>
      <c r="AB44" s="346"/>
      <c r="AC44" s="71">
        <f>ID_20!E3</f>
        <v>369088</v>
      </c>
      <c r="AD44" s="360" t="s">
        <v>114</v>
      </c>
      <c r="AE44" s="361"/>
      <c r="AF44" s="362"/>
      <c r="AG44" s="363" t="s">
        <v>114</v>
      </c>
      <c r="AH44" s="364"/>
      <c r="AI44" s="365"/>
      <c r="AJ44" s="370" t="s">
        <v>114</v>
      </c>
      <c r="AK44" s="381"/>
      <c r="AL44" s="371"/>
      <c r="AM44" s="67"/>
      <c r="AN44" s="67"/>
      <c r="AO44" s="403"/>
      <c r="AP44" s="387"/>
      <c r="AQ44" s="388"/>
      <c r="AR44" s="390"/>
    </row>
    <row r="45" spans="1:44" ht="40.049999999999997" customHeight="1">
      <c r="A45" s="351" t="s">
        <v>113</v>
      </c>
      <c r="B45" s="351" t="s">
        <v>523</v>
      </c>
      <c r="C45" s="434">
        <v>21</v>
      </c>
      <c r="D45" s="351" t="s">
        <v>50</v>
      </c>
      <c r="E45" s="351" t="s">
        <v>51</v>
      </c>
      <c r="F45" s="351" t="s">
        <v>100</v>
      </c>
      <c r="G45" s="456" t="s">
        <v>357</v>
      </c>
      <c r="H45" s="481"/>
      <c r="I45" s="351" t="s">
        <v>524</v>
      </c>
      <c r="J45" s="395">
        <v>233</v>
      </c>
      <c r="K45" s="355" t="s">
        <v>212</v>
      </c>
      <c r="L45" s="351" t="s">
        <v>211</v>
      </c>
      <c r="M45" s="353"/>
      <c r="N45" s="351"/>
      <c r="O45" s="86" t="s">
        <v>9</v>
      </c>
      <c r="P45" s="86" t="s">
        <v>10</v>
      </c>
      <c r="Q45" s="86" t="s">
        <v>13</v>
      </c>
      <c r="R45" s="85" t="s">
        <v>9</v>
      </c>
      <c r="S45" s="85" t="s">
        <v>10</v>
      </c>
      <c r="T45" s="85" t="s">
        <v>13</v>
      </c>
      <c r="U45" s="84" t="s">
        <v>9</v>
      </c>
      <c r="V45" s="84" t="s">
        <v>10</v>
      </c>
      <c r="W45" s="84" t="s">
        <v>13</v>
      </c>
      <c r="X45" s="83" t="s">
        <v>9</v>
      </c>
      <c r="Y45" s="83" t="s">
        <v>10</v>
      </c>
      <c r="Z45" s="83" t="s">
        <v>13</v>
      </c>
      <c r="AA45" s="86" t="s">
        <v>9</v>
      </c>
      <c r="AB45" s="86" t="s">
        <v>10</v>
      </c>
      <c r="AC45" s="86" t="s">
        <v>13</v>
      </c>
      <c r="AD45" s="85" t="s">
        <v>9</v>
      </c>
      <c r="AE45" s="85" t="s">
        <v>10</v>
      </c>
      <c r="AF45" s="85" t="s">
        <v>13</v>
      </c>
      <c r="AG45" s="84" t="s">
        <v>9</v>
      </c>
      <c r="AH45" s="84" t="s">
        <v>10</v>
      </c>
      <c r="AI45" s="84" t="s">
        <v>13</v>
      </c>
      <c r="AJ45" s="83" t="s">
        <v>9</v>
      </c>
      <c r="AK45" s="83" t="s">
        <v>10</v>
      </c>
      <c r="AL45" s="83" t="s">
        <v>13</v>
      </c>
      <c r="AM45" s="64"/>
      <c r="AN45" s="64"/>
      <c r="AO45" s="402">
        <f>Q46</f>
        <v>10492290194</v>
      </c>
      <c r="AP45" s="397" t="s">
        <v>328</v>
      </c>
      <c r="AQ45" s="398"/>
      <c r="AR45" s="399">
        <f>(AO45/(IMF!G27*(J45/366)))*100</f>
        <v>0.54369718303145809</v>
      </c>
    </row>
    <row r="46" spans="1:44" ht="40.049999999999997" customHeight="1" thickBot="1">
      <c r="A46" s="352"/>
      <c r="B46" s="352"/>
      <c r="C46" s="352"/>
      <c r="D46" s="352"/>
      <c r="E46" s="352"/>
      <c r="F46" s="352"/>
      <c r="G46" s="482"/>
      <c r="H46" s="483"/>
      <c r="I46" s="352"/>
      <c r="J46" s="396"/>
      <c r="K46" s="356"/>
      <c r="L46" s="352"/>
      <c r="M46" s="354"/>
      <c r="N46" s="352"/>
      <c r="O46" s="342"/>
      <c r="P46" s="343"/>
      <c r="Q46" s="76">
        <v>10492290194</v>
      </c>
      <c r="R46" s="340" t="s">
        <v>114</v>
      </c>
      <c r="S46" s="401"/>
      <c r="T46" s="341"/>
      <c r="U46" s="307" t="s">
        <v>114</v>
      </c>
      <c r="V46" s="308"/>
      <c r="W46" s="309"/>
      <c r="X46" s="310" t="s">
        <v>114</v>
      </c>
      <c r="Y46" s="311"/>
      <c r="Z46" s="312"/>
      <c r="AA46" s="342"/>
      <c r="AB46" s="343"/>
      <c r="AC46" s="76">
        <f>ID_21!E4</f>
        <v>339381</v>
      </c>
      <c r="AD46" s="340" t="s">
        <v>114</v>
      </c>
      <c r="AE46" s="401"/>
      <c r="AF46" s="341"/>
      <c r="AG46" s="307" t="s">
        <v>114</v>
      </c>
      <c r="AH46" s="308"/>
      <c r="AI46" s="309"/>
      <c r="AJ46" s="310" t="s">
        <v>114</v>
      </c>
      <c r="AK46" s="311"/>
      <c r="AL46" s="312"/>
      <c r="AM46" s="67"/>
      <c r="AN46" s="67"/>
      <c r="AO46" s="403"/>
      <c r="AP46" s="387"/>
      <c r="AQ46" s="388"/>
      <c r="AR46" s="390"/>
    </row>
    <row r="47" spans="1:44" ht="40.049999999999997" customHeight="1">
      <c r="A47" s="349" t="s">
        <v>113</v>
      </c>
      <c r="B47" s="349" t="s">
        <v>523</v>
      </c>
      <c r="C47" s="349">
        <v>22</v>
      </c>
      <c r="D47" s="349" t="s">
        <v>52</v>
      </c>
      <c r="E47" s="349" t="s">
        <v>53</v>
      </c>
      <c r="F47" s="349" t="s">
        <v>101</v>
      </c>
      <c r="G47" s="450" t="s">
        <v>328</v>
      </c>
      <c r="H47" s="451"/>
      <c r="I47" s="349" t="s">
        <v>524</v>
      </c>
      <c r="J47" s="420">
        <v>114</v>
      </c>
      <c r="K47" s="349">
        <v>2020</v>
      </c>
      <c r="L47" s="349" t="s">
        <v>211</v>
      </c>
      <c r="M47" s="347"/>
      <c r="N47" s="349"/>
      <c r="O47" s="75" t="s">
        <v>9</v>
      </c>
      <c r="P47" s="75" t="s">
        <v>10</v>
      </c>
      <c r="Q47" s="75" t="s">
        <v>13</v>
      </c>
      <c r="R47" s="74" t="s">
        <v>9</v>
      </c>
      <c r="S47" s="74" t="s">
        <v>10</v>
      </c>
      <c r="T47" s="74" t="s">
        <v>13</v>
      </c>
      <c r="U47" s="73" t="s">
        <v>9</v>
      </c>
      <c r="V47" s="73" t="s">
        <v>10</v>
      </c>
      <c r="W47" s="73" t="s">
        <v>13</v>
      </c>
      <c r="X47" s="72" t="s">
        <v>9</v>
      </c>
      <c r="Y47" s="72" t="s">
        <v>10</v>
      </c>
      <c r="Z47" s="72" t="s">
        <v>13</v>
      </c>
      <c r="AA47" s="75" t="s">
        <v>9</v>
      </c>
      <c r="AB47" s="75" t="s">
        <v>10</v>
      </c>
      <c r="AC47" s="75" t="s">
        <v>13</v>
      </c>
      <c r="AD47" s="74" t="s">
        <v>9</v>
      </c>
      <c r="AE47" s="74" t="s">
        <v>10</v>
      </c>
      <c r="AF47" s="74" t="s">
        <v>13</v>
      </c>
      <c r="AG47" s="73" t="s">
        <v>9</v>
      </c>
      <c r="AH47" s="73" t="s">
        <v>10</v>
      </c>
      <c r="AI47" s="73" t="s">
        <v>13</v>
      </c>
      <c r="AJ47" s="72" t="s">
        <v>9</v>
      </c>
      <c r="AK47" s="72" t="s">
        <v>10</v>
      </c>
      <c r="AL47" s="72" t="s">
        <v>13</v>
      </c>
      <c r="AM47" s="64"/>
      <c r="AN47" s="64"/>
      <c r="AO47" s="402">
        <f>Q48</f>
        <v>3591028163</v>
      </c>
      <c r="AP47" s="397" t="s">
        <v>328</v>
      </c>
      <c r="AQ47" s="398"/>
      <c r="AR47" s="399">
        <f>(AO47/(IMF!G9*(J47/366)))*100</f>
        <v>0.3629328045382656</v>
      </c>
    </row>
    <row r="48" spans="1:44" ht="40.049999999999997" customHeight="1" thickBot="1">
      <c r="A48" s="350"/>
      <c r="B48" s="350"/>
      <c r="C48" s="350"/>
      <c r="D48" s="350"/>
      <c r="E48" s="350"/>
      <c r="F48" s="350"/>
      <c r="G48" s="454"/>
      <c r="H48" s="455"/>
      <c r="I48" s="350"/>
      <c r="J48" s="421"/>
      <c r="K48" s="350"/>
      <c r="L48" s="350"/>
      <c r="M48" s="348"/>
      <c r="N48" s="350"/>
      <c r="O48" s="345"/>
      <c r="P48" s="346"/>
      <c r="Q48" s="71">
        <f>Age_int!N72</f>
        <v>3591028163</v>
      </c>
      <c r="R48" s="360" t="s">
        <v>114</v>
      </c>
      <c r="S48" s="361"/>
      <c r="T48" s="362"/>
      <c r="U48" s="363" t="s">
        <v>114</v>
      </c>
      <c r="V48" s="364"/>
      <c r="W48" s="365"/>
      <c r="X48" s="370" t="s">
        <v>114</v>
      </c>
      <c r="Y48" s="381"/>
      <c r="Z48" s="371"/>
      <c r="AA48" s="345"/>
      <c r="AB48" s="346"/>
      <c r="AC48" s="71">
        <f>ID_22!E3</f>
        <v>99629</v>
      </c>
      <c r="AD48" s="360" t="s">
        <v>114</v>
      </c>
      <c r="AE48" s="361"/>
      <c r="AF48" s="362"/>
      <c r="AG48" s="363" t="s">
        <v>114</v>
      </c>
      <c r="AH48" s="364"/>
      <c r="AI48" s="365"/>
      <c r="AJ48" s="370" t="s">
        <v>114</v>
      </c>
      <c r="AK48" s="381"/>
      <c r="AL48" s="371"/>
      <c r="AM48" s="67"/>
      <c r="AN48" s="67"/>
      <c r="AO48" s="403"/>
      <c r="AP48" s="387"/>
      <c r="AQ48" s="388"/>
      <c r="AR48" s="390"/>
    </row>
    <row r="49" spans="1:44" ht="40.049999999999997" customHeight="1">
      <c r="A49" s="351" t="s">
        <v>113</v>
      </c>
      <c r="B49" s="351" t="s">
        <v>523</v>
      </c>
      <c r="C49" s="434">
        <v>23</v>
      </c>
      <c r="D49" s="351" t="s">
        <v>55</v>
      </c>
      <c r="E49" s="351" t="s">
        <v>56</v>
      </c>
      <c r="F49" s="351" t="s">
        <v>102</v>
      </c>
      <c r="G49" s="391" t="s">
        <v>328</v>
      </c>
      <c r="H49" s="392"/>
      <c r="I49" s="351" t="s">
        <v>524</v>
      </c>
      <c r="J49" s="395">
        <v>288</v>
      </c>
      <c r="K49" s="355" t="s">
        <v>212</v>
      </c>
      <c r="L49" s="351" t="s">
        <v>211</v>
      </c>
      <c r="M49" s="353"/>
      <c r="N49" s="351"/>
      <c r="O49" s="86" t="s">
        <v>9</v>
      </c>
      <c r="P49" s="86" t="s">
        <v>10</v>
      </c>
      <c r="Q49" s="86" t="s">
        <v>13</v>
      </c>
      <c r="R49" s="85" t="s">
        <v>9</v>
      </c>
      <c r="S49" s="85" t="s">
        <v>10</v>
      </c>
      <c r="T49" s="85" t="s">
        <v>13</v>
      </c>
      <c r="U49" s="84" t="s">
        <v>9</v>
      </c>
      <c r="V49" s="84" t="s">
        <v>10</v>
      </c>
      <c r="W49" s="84" t="s">
        <v>13</v>
      </c>
      <c r="X49" s="83" t="s">
        <v>9</v>
      </c>
      <c r="Y49" s="83" t="s">
        <v>10</v>
      </c>
      <c r="Z49" s="83" t="s">
        <v>13</v>
      </c>
      <c r="AA49" s="86" t="s">
        <v>9</v>
      </c>
      <c r="AB49" s="86" t="s">
        <v>10</v>
      </c>
      <c r="AC49" s="86" t="s">
        <v>13</v>
      </c>
      <c r="AD49" s="85" t="s">
        <v>9</v>
      </c>
      <c r="AE49" s="85" t="s">
        <v>10</v>
      </c>
      <c r="AF49" s="85" t="s">
        <v>13</v>
      </c>
      <c r="AG49" s="84" t="s">
        <v>9</v>
      </c>
      <c r="AH49" s="84" t="s">
        <v>10</v>
      </c>
      <c r="AI49" s="84" t="s">
        <v>13</v>
      </c>
      <c r="AJ49" s="83" t="s">
        <v>9</v>
      </c>
      <c r="AK49" s="83" t="s">
        <v>10</v>
      </c>
      <c r="AL49" s="83" t="s">
        <v>13</v>
      </c>
      <c r="AM49" s="64"/>
      <c r="AN49" s="64"/>
      <c r="AO49" s="402">
        <f>Q50</f>
        <v>496463298</v>
      </c>
      <c r="AP49" s="397" t="s">
        <v>328</v>
      </c>
      <c r="AQ49" s="398"/>
      <c r="AR49" s="399">
        <f>(AO49/(IMF!G38*(J49/366)))*100</f>
        <v>1.1859558496928354E-2</v>
      </c>
    </row>
    <row r="50" spans="1:44" ht="40.049999999999997" customHeight="1" thickBot="1">
      <c r="A50" s="352"/>
      <c r="B50" s="352"/>
      <c r="C50" s="352"/>
      <c r="D50" s="352"/>
      <c r="E50" s="352"/>
      <c r="F50" s="352"/>
      <c r="G50" s="393"/>
      <c r="H50" s="394"/>
      <c r="I50" s="352"/>
      <c r="J50" s="396"/>
      <c r="K50" s="356"/>
      <c r="L50" s="352"/>
      <c r="M50" s="354"/>
      <c r="N50" s="352"/>
      <c r="O50" s="342"/>
      <c r="P50" s="343"/>
      <c r="Q50" s="76">
        <f>Age_int!N77</f>
        <v>496463298</v>
      </c>
      <c r="R50" s="340" t="s">
        <v>114</v>
      </c>
      <c r="S50" s="401"/>
      <c r="T50" s="341"/>
      <c r="U50" s="307" t="s">
        <v>114</v>
      </c>
      <c r="V50" s="308"/>
      <c r="W50" s="309"/>
      <c r="X50" s="310" t="s">
        <v>114</v>
      </c>
      <c r="Y50" s="311"/>
      <c r="Z50" s="312"/>
      <c r="AA50" s="342"/>
      <c r="AB50" s="343"/>
      <c r="AC50" s="76">
        <f>ID_23!E3</f>
        <v>286973</v>
      </c>
      <c r="AD50" s="340" t="s">
        <v>114</v>
      </c>
      <c r="AE50" s="401"/>
      <c r="AF50" s="341"/>
      <c r="AG50" s="307" t="s">
        <v>114</v>
      </c>
      <c r="AH50" s="308"/>
      <c r="AI50" s="309"/>
      <c r="AJ50" s="310" t="s">
        <v>114</v>
      </c>
      <c r="AK50" s="311"/>
      <c r="AL50" s="312"/>
      <c r="AM50" s="67"/>
      <c r="AN50" s="67"/>
      <c r="AO50" s="403"/>
      <c r="AP50" s="387"/>
      <c r="AQ50" s="388"/>
      <c r="AR50" s="390"/>
    </row>
    <row r="51" spans="1:44" ht="40.049999999999997" customHeight="1">
      <c r="A51" s="349" t="s">
        <v>113</v>
      </c>
      <c r="B51" s="349" t="s">
        <v>523</v>
      </c>
      <c r="C51" s="349">
        <v>24</v>
      </c>
      <c r="D51" s="349" t="s">
        <v>273</v>
      </c>
      <c r="E51" s="349" t="s">
        <v>272</v>
      </c>
      <c r="F51" s="349" t="s">
        <v>271</v>
      </c>
      <c r="G51" s="65"/>
      <c r="H51" s="65"/>
      <c r="I51" s="65"/>
      <c r="J51" s="141"/>
      <c r="K51" s="349">
        <v>2020</v>
      </c>
      <c r="L51" s="349" t="s">
        <v>211</v>
      </c>
      <c r="M51" s="347"/>
      <c r="N51" s="65"/>
      <c r="O51" s="75" t="s">
        <v>9</v>
      </c>
      <c r="P51" s="75" t="s">
        <v>10</v>
      </c>
      <c r="Q51" s="75" t="s">
        <v>13</v>
      </c>
      <c r="R51" s="74" t="s">
        <v>9</v>
      </c>
      <c r="S51" s="74" t="s">
        <v>10</v>
      </c>
      <c r="T51" s="74" t="s">
        <v>13</v>
      </c>
      <c r="U51" s="73" t="s">
        <v>9</v>
      </c>
      <c r="V51" s="73" t="s">
        <v>10</v>
      </c>
      <c r="W51" s="73" t="s">
        <v>13</v>
      </c>
      <c r="X51" s="72" t="s">
        <v>9</v>
      </c>
      <c r="Y51" s="72" t="s">
        <v>10</v>
      </c>
      <c r="Z51" s="72" t="s">
        <v>13</v>
      </c>
      <c r="AA51" s="75" t="s">
        <v>9</v>
      </c>
      <c r="AB51" s="75" t="s">
        <v>10</v>
      </c>
      <c r="AC51" s="75" t="s">
        <v>13</v>
      </c>
      <c r="AD51" s="74" t="s">
        <v>9</v>
      </c>
      <c r="AE51" s="74" t="s">
        <v>10</v>
      </c>
      <c r="AF51" s="74" t="s">
        <v>13</v>
      </c>
      <c r="AG51" s="73" t="s">
        <v>9</v>
      </c>
      <c r="AH51" s="73" t="s">
        <v>10</v>
      </c>
      <c r="AI51" s="73" t="s">
        <v>13</v>
      </c>
      <c r="AJ51" s="72" t="s">
        <v>9</v>
      </c>
      <c r="AK51" s="72" t="s">
        <v>10</v>
      </c>
      <c r="AL51" s="72" t="s">
        <v>13</v>
      </c>
      <c r="AM51" s="96"/>
      <c r="AN51" s="96"/>
      <c r="AO51" s="242"/>
      <c r="AP51" s="397" t="s">
        <v>328</v>
      </c>
      <c r="AQ51" s="398"/>
      <c r="AR51" s="183"/>
    </row>
    <row r="52" spans="1:44" ht="40.049999999999997" customHeight="1">
      <c r="A52" s="382"/>
      <c r="B52" s="382"/>
      <c r="C52" s="382"/>
      <c r="D52" s="382"/>
      <c r="E52" s="382"/>
      <c r="F52" s="382"/>
      <c r="G52" s="93" t="s">
        <v>270</v>
      </c>
      <c r="H52" s="251" t="s">
        <v>361</v>
      </c>
      <c r="I52" s="102" t="s">
        <v>524</v>
      </c>
      <c r="J52" s="155">
        <v>154</v>
      </c>
      <c r="K52" s="382"/>
      <c r="L52" s="382"/>
      <c r="M52" s="358"/>
      <c r="N52" s="93" t="s">
        <v>270</v>
      </c>
      <c r="O52" s="344"/>
      <c r="P52" s="344"/>
      <c r="Q52" s="297">
        <f>ID_24!B4</f>
        <v>245299956</v>
      </c>
      <c r="R52" s="313" t="s">
        <v>114</v>
      </c>
      <c r="S52" s="314"/>
      <c r="T52" s="315"/>
      <c r="U52" s="322" t="s">
        <v>114</v>
      </c>
      <c r="V52" s="323"/>
      <c r="W52" s="324"/>
      <c r="X52" s="331" t="s">
        <v>114</v>
      </c>
      <c r="Y52" s="332"/>
      <c r="Z52" s="333"/>
      <c r="AA52" s="372"/>
      <c r="AB52" s="374"/>
      <c r="AC52" s="89">
        <f>ID_24!C4</f>
        <v>202727</v>
      </c>
      <c r="AD52" s="313" t="s">
        <v>114</v>
      </c>
      <c r="AE52" s="314"/>
      <c r="AF52" s="315"/>
      <c r="AG52" s="322" t="s">
        <v>114</v>
      </c>
      <c r="AH52" s="323"/>
      <c r="AI52" s="324"/>
      <c r="AJ52" s="331" t="s">
        <v>114</v>
      </c>
      <c r="AK52" s="332"/>
      <c r="AL52" s="333"/>
      <c r="AM52" s="95"/>
      <c r="AN52" s="95"/>
      <c r="AO52" s="144">
        <f>Q52</f>
        <v>245299956</v>
      </c>
      <c r="AP52" s="409"/>
      <c r="AQ52" s="386"/>
      <c r="AR52" s="183">
        <f>(AO52/(IMF!G4*(J52/366)))*100</f>
        <v>0.11905027184448459</v>
      </c>
    </row>
    <row r="53" spans="1:44" ht="40.049999999999997" customHeight="1">
      <c r="A53" s="382"/>
      <c r="B53" s="382"/>
      <c r="C53" s="382"/>
      <c r="D53" s="382"/>
      <c r="E53" s="382"/>
      <c r="F53" s="382"/>
      <c r="G53" s="93" t="s">
        <v>269</v>
      </c>
      <c r="H53" s="251" t="s">
        <v>362</v>
      </c>
      <c r="I53" s="102" t="s">
        <v>524</v>
      </c>
      <c r="J53" s="155">
        <v>119</v>
      </c>
      <c r="K53" s="382"/>
      <c r="L53" s="382"/>
      <c r="M53" s="358"/>
      <c r="N53" s="93" t="s">
        <v>269</v>
      </c>
      <c r="O53" s="344"/>
      <c r="P53" s="344"/>
      <c r="Q53" s="297">
        <f>ID_24!B5</f>
        <v>2020078</v>
      </c>
      <c r="R53" s="316"/>
      <c r="S53" s="317"/>
      <c r="T53" s="318"/>
      <c r="U53" s="325"/>
      <c r="V53" s="326"/>
      <c r="W53" s="327"/>
      <c r="X53" s="334"/>
      <c r="Y53" s="335"/>
      <c r="Z53" s="336"/>
      <c r="AA53" s="375"/>
      <c r="AB53" s="377"/>
      <c r="AC53" s="89">
        <f>ID_24!C5</f>
        <v>38848</v>
      </c>
      <c r="AD53" s="316"/>
      <c r="AE53" s="317"/>
      <c r="AF53" s="318"/>
      <c r="AG53" s="325"/>
      <c r="AH53" s="326"/>
      <c r="AI53" s="327"/>
      <c r="AJ53" s="334"/>
      <c r="AK53" s="335"/>
      <c r="AL53" s="336"/>
      <c r="AM53" s="92"/>
      <c r="AN53" s="92"/>
      <c r="AO53" s="144">
        <f t="shared" ref="AO53:AO105" si="2">Q53</f>
        <v>2020078</v>
      </c>
      <c r="AP53" s="409"/>
      <c r="AQ53" s="386"/>
      <c r="AR53" s="183">
        <f>(AO53/(IMF!G5*(J53/366)))*100</f>
        <v>2.9213512612628416E-3</v>
      </c>
    </row>
    <row r="54" spans="1:44" ht="40.049999999999997" customHeight="1">
      <c r="A54" s="382"/>
      <c r="B54" s="382"/>
      <c r="C54" s="382"/>
      <c r="D54" s="382"/>
      <c r="E54" s="382"/>
      <c r="F54" s="382"/>
      <c r="G54" s="93" t="s">
        <v>268</v>
      </c>
      <c r="H54" s="251" t="s">
        <v>363</v>
      </c>
      <c r="I54" s="102" t="s">
        <v>524</v>
      </c>
      <c r="J54" s="155">
        <v>133</v>
      </c>
      <c r="K54" s="382"/>
      <c r="L54" s="382"/>
      <c r="M54" s="358"/>
      <c r="N54" s="93" t="s">
        <v>268</v>
      </c>
      <c r="O54" s="344"/>
      <c r="P54" s="344"/>
      <c r="Q54" s="297">
        <f>ID_24!B6</f>
        <v>643835</v>
      </c>
      <c r="R54" s="316"/>
      <c r="S54" s="317"/>
      <c r="T54" s="318"/>
      <c r="U54" s="325"/>
      <c r="V54" s="326"/>
      <c r="W54" s="327"/>
      <c r="X54" s="334"/>
      <c r="Y54" s="335"/>
      <c r="Z54" s="336"/>
      <c r="AA54" s="375"/>
      <c r="AB54" s="377"/>
      <c r="AC54" s="89">
        <f>ID_24!C6</f>
        <v>17884</v>
      </c>
      <c r="AD54" s="316"/>
      <c r="AE54" s="317"/>
      <c r="AF54" s="318"/>
      <c r="AG54" s="325"/>
      <c r="AH54" s="326"/>
      <c r="AI54" s="327"/>
      <c r="AJ54" s="334"/>
      <c r="AK54" s="335"/>
      <c r="AL54" s="336"/>
      <c r="AM54" s="92"/>
      <c r="AN54" s="92"/>
      <c r="AO54" s="144">
        <f t="shared" si="2"/>
        <v>643835</v>
      </c>
      <c r="AP54" s="409"/>
      <c r="AQ54" s="386"/>
      <c r="AR54" s="183">
        <f>(AO54/(IMF!G7*(J54/366)))*100</f>
        <v>4.16452723337113E-3</v>
      </c>
    </row>
    <row r="55" spans="1:44" ht="40.049999999999997" customHeight="1">
      <c r="A55" s="382"/>
      <c r="B55" s="382"/>
      <c r="C55" s="382"/>
      <c r="D55" s="382"/>
      <c r="E55" s="382"/>
      <c r="F55" s="382"/>
      <c r="G55" s="93" t="s">
        <v>267</v>
      </c>
      <c r="H55" s="251" t="s">
        <v>362</v>
      </c>
      <c r="I55" s="102" t="s">
        <v>524</v>
      </c>
      <c r="J55" s="155">
        <v>119</v>
      </c>
      <c r="K55" s="382"/>
      <c r="L55" s="382"/>
      <c r="M55" s="358"/>
      <c r="N55" s="93" t="s">
        <v>267</v>
      </c>
      <c r="O55" s="344"/>
      <c r="P55" s="344"/>
      <c r="Q55" s="297">
        <f>ID_24!B7</f>
        <v>297052</v>
      </c>
      <c r="R55" s="316"/>
      <c r="S55" s="317"/>
      <c r="T55" s="318"/>
      <c r="U55" s="325"/>
      <c r="V55" s="326"/>
      <c r="W55" s="327"/>
      <c r="X55" s="334"/>
      <c r="Y55" s="335"/>
      <c r="Z55" s="336"/>
      <c r="AA55" s="375"/>
      <c r="AB55" s="377"/>
      <c r="AC55" s="89">
        <f>ID_24!C7</f>
        <v>148526</v>
      </c>
      <c r="AD55" s="316"/>
      <c r="AE55" s="317"/>
      <c r="AF55" s="318"/>
      <c r="AG55" s="325"/>
      <c r="AH55" s="326"/>
      <c r="AI55" s="327"/>
      <c r="AJ55" s="334"/>
      <c r="AK55" s="335"/>
      <c r="AL55" s="336"/>
      <c r="AM55" s="92"/>
      <c r="AN55" s="92"/>
      <c r="AO55" s="144">
        <f t="shared" si="2"/>
        <v>297052</v>
      </c>
      <c r="AP55" s="409"/>
      <c r="AQ55" s="386"/>
      <c r="AR55" s="183">
        <f>(AO55/(IMF!G8*(J55/366)))*100</f>
        <v>2.5082281884613836E-3</v>
      </c>
    </row>
    <row r="56" spans="1:44" ht="40.049999999999997" customHeight="1">
      <c r="A56" s="382"/>
      <c r="B56" s="382"/>
      <c r="C56" s="382"/>
      <c r="D56" s="382"/>
      <c r="E56" s="382"/>
      <c r="F56" s="382"/>
      <c r="G56" s="93" t="s">
        <v>266</v>
      </c>
      <c r="H56" s="251" t="s">
        <v>360</v>
      </c>
      <c r="I56" s="102" t="s">
        <v>524</v>
      </c>
      <c r="J56" s="155">
        <v>140</v>
      </c>
      <c r="K56" s="382"/>
      <c r="L56" s="382"/>
      <c r="M56" s="358"/>
      <c r="N56" s="93" t="s">
        <v>266</v>
      </c>
      <c r="O56" s="344"/>
      <c r="P56" s="344"/>
      <c r="Q56" s="297">
        <f>ID_24!B8</f>
        <v>545968</v>
      </c>
      <c r="R56" s="316"/>
      <c r="S56" s="317"/>
      <c r="T56" s="318"/>
      <c r="U56" s="325"/>
      <c r="V56" s="326"/>
      <c r="W56" s="327"/>
      <c r="X56" s="334"/>
      <c r="Y56" s="335"/>
      <c r="Z56" s="336"/>
      <c r="AA56" s="375"/>
      <c r="AB56" s="377"/>
      <c r="AC56" s="89">
        <f>ID_24!C8</f>
        <v>10301</v>
      </c>
      <c r="AD56" s="316"/>
      <c r="AE56" s="317"/>
      <c r="AF56" s="318"/>
      <c r="AG56" s="325"/>
      <c r="AH56" s="326"/>
      <c r="AI56" s="327"/>
      <c r="AJ56" s="334"/>
      <c r="AK56" s="335"/>
      <c r="AL56" s="336"/>
      <c r="AM56" s="92"/>
      <c r="AN56" s="92"/>
      <c r="AO56" s="144">
        <f t="shared" si="2"/>
        <v>545968</v>
      </c>
      <c r="AP56" s="409"/>
      <c r="AQ56" s="386"/>
      <c r="AR56" s="183">
        <f>(AO56/(IMF!G10*(J56/366)))*100</f>
        <v>2.9838326389822162E-3</v>
      </c>
    </row>
    <row r="57" spans="1:44" ht="40.049999999999997" customHeight="1">
      <c r="A57" s="382"/>
      <c r="B57" s="382"/>
      <c r="C57" s="382"/>
      <c r="D57" s="382"/>
      <c r="E57" s="382"/>
      <c r="F57" s="382"/>
      <c r="G57" s="93" t="s">
        <v>265</v>
      </c>
      <c r="H57" s="251" t="s">
        <v>362</v>
      </c>
      <c r="I57" s="102" t="s">
        <v>524</v>
      </c>
      <c r="J57" s="155">
        <v>119</v>
      </c>
      <c r="K57" s="382"/>
      <c r="L57" s="382"/>
      <c r="M57" s="358"/>
      <c r="N57" s="93" t="s">
        <v>265</v>
      </c>
      <c r="O57" s="344"/>
      <c r="P57" s="344"/>
      <c r="Q57" s="297">
        <f>ID_24!B9</f>
        <v>3335</v>
      </c>
      <c r="R57" s="316"/>
      <c r="S57" s="317"/>
      <c r="T57" s="318"/>
      <c r="U57" s="325"/>
      <c r="V57" s="326"/>
      <c r="W57" s="327"/>
      <c r="X57" s="334"/>
      <c r="Y57" s="335"/>
      <c r="Z57" s="336"/>
      <c r="AA57" s="375"/>
      <c r="AB57" s="377"/>
      <c r="AC57" s="89">
        <f>ID_24!C9</f>
        <v>3335</v>
      </c>
      <c r="AD57" s="316"/>
      <c r="AE57" s="317"/>
      <c r="AF57" s="318"/>
      <c r="AG57" s="325"/>
      <c r="AH57" s="326"/>
      <c r="AI57" s="327"/>
      <c r="AJ57" s="334"/>
      <c r="AK57" s="335"/>
      <c r="AL57" s="336"/>
      <c r="AM57" s="92"/>
      <c r="AN57" s="92"/>
      <c r="AO57" s="144">
        <f t="shared" si="2"/>
        <v>3335</v>
      </c>
      <c r="AP57" s="409"/>
      <c r="AQ57" s="386"/>
      <c r="AR57" s="183">
        <f>(AO57/(IMF!G11*(J57/366)))*100</f>
        <v>1.1169799510787655E-4</v>
      </c>
    </row>
    <row r="58" spans="1:44" ht="40.049999999999997" customHeight="1">
      <c r="A58" s="382"/>
      <c r="B58" s="382"/>
      <c r="C58" s="382"/>
      <c r="D58" s="382"/>
      <c r="E58" s="382"/>
      <c r="F58" s="382"/>
      <c r="G58" s="93" t="s">
        <v>264</v>
      </c>
      <c r="H58" s="251" t="s">
        <v>388</v>
      </c>
      <c r="I58" s="102" t="s">
        <v>524</v>
      </c>
      <c r="J58" s="155">
        <v>147</v>
      </c>
      <c r="K58" s="382"/>
      <c r="L58" s="382"/>
      <c r="M58" s="358"/>
      <c r="N58" s="93" t="s">
        <v>264</v>
      </c>
      <c r="O58" s="344"/>
      <c r="P58" s="344"/>
      <c r="Q58" s="297">
        <f>ID_24!B10</f>
        <v>6768581</v>
      </c>
      <c r="R58" s="316"/>
      <c r="S58" s="317"/>
      <c r="T58" s="318"/>
      <c r="U58" s="325"/>
      <c r="V58" s="326"/>
      <c r="W58" s="327"/>
      <c r="X58" s="334"/>
      <c r="Y58" s="335"/>
      <c r="Z58" s="336"/>
      <c r="AA58" s="375"/>
      <c r="AB58" s="377"/>
      <c r="AC58" s="89">
        <f>ID_24!C10</f>
        <v>17311</v>
      </c>
      <c r="AD58" s="316"/>
      <c r="AE58" s="317"/>
      <c r="AF58" s="318"/>
      <c r="AG58" s="325"/>
      <c r="AH58" s="326"/>
      <c r="AI58" s="327"/>
      <c r="AJ58" s="334"/>
      <c r="AK58" s="335"/>
      <c r="AL58" s="336"/>
      <c r="AM58" s="92"/>
      <c r="AN58" s="92"/>
      <c r="AO58" s="144">
        <f t="shared" si="2"/>
        <v>6768581</v>
      </c>
      <c r="AP58" s="409"/>
      <c r="AQ58" s="386"/>
      <c r="AR58" s="183">
        <f>(AO58/(IMF!G12*(J58/366)))*100</f>
        <v>1.6386835354516949E-2</v>
      </c>
    </row>
    <row r="59" spans="1:44" ht="40.049999999999997" customHeight="1">
      <c r="A59" s="382"/>
      <c r="B59" s="382"/>
      <c r="C59" s="382"/>
      <c r="D59" s="382"/>
      <c r="E59" s="382"/>
      <c r="F59" s="382"/>
      <c r="G59" s="93" t="s">
        <v>263</v>
      </c>
      <c r="H59" s="251" t="s">
        <v>363</v>
      </c>
      <c r="I59" s="102" t="s">
        <v>524</v>
      </c>
      <c r="J59" s="155">
        <v>133</v>
      </c>
      <c r="K59" s="382"/>
      <c r="L59" s="382"/>
      <c r="M59" s="358"/>
      <c r="N59" s="93" t="s">
        <v>263</v>
      </c>
      <c r="O59" s="344"/>
      <c r="P59" s="344"/>
      <c r="Q59" s="297">
        <f>ID_24!B11</f>
        <v>1962141</v>
      </c>
      <c r="R59" s="316"/>
      <c r="S59" s="317"/>
      <c r="T59" s="318"/>
      <c r="U59" s="325"/>
      <c r="V59" s="326"/>
      <c r="W59" s="327"/>
      <c r="X59" s="334"/>
      <c r="Y59" s="335"/>
      <c r="Z59" s="336"/>
      <c r="AA59" s="375"/>
      <c r="AB59" s="377"/>
      <c r="AC59" s="89">
        <f>ID_24!C11</f>
        <v>85310</v>
      </c>
      <c r="AD59" s="316"/>
      <c r="AE59" s="317"/>
      <c r="AF59" s="318"/>
      <c r="AG59" s="325"/>
      <c r="AH59" s="326"/>
      <c r="AI59" s="327"/>
      <c r="AJ59" s="334"/>
      <c r="AK59" s="335"/>
      <c r="AL59" s="336"/>
      <c r="AM59" s="92"/>
      <c r="AN59" s="92"/>
      <c r="AO59" s="144">
        <f t="shared" si="2"/>
        <v>1962141</v>
      </c>
      <c r="AP59" s="409"/>
      <c r="AQ59" s="386"/>
      <c r="AR59" s="183">
        <f>(AO59/(IMF!G14*(J59/366)))*100</f>
        <v>0.14231881879183991</v>
      </c>
    </row>
    <row r="60" spans="1:44" ht="40.049999999999997" customHeight="1">
      <c r="A60" s="382"/>
      <c r="B60" s="382"/>
      <c r="C60" s="382"/>
      <c r="D60" s="382"/>
      <c r="E60" s="382"/>
      <c r="F60" s="382"/>
      <c r="G60" s="93" t="s">
        <v>262</v>
      </c>
      <c r="H60" s="251" t="s">
        <v>360</v>
      </c>
      <c r="I60" s="102" t="s">
        <v>524</v>
      </c>
      <c r="J60" s="155">
        <v>140</v>
      </c>
      <c r="K60" s="382"/>
      <c r="L60" s="382"/>
      <c r="M60" s="358"/>
      <c r="N60" s="93" t="s">
        <v>262</v>
      </c>
      <c r="O60" s="344"/>
      <c r="P60" s="344"/>
      <c r="Q60" s="297">
        <f>ID_24!B12</f>
        <v>113916</v>
      </c>
      <c r="R60" s="316"/>
      <c r="S60" s="317"/>
      <c r="T60" s="318"/>
      <c r="U60" s="325"/>
      <c r="V60" s="326"/>
      <c r="W60" s="327"/>
      <c r="X60" s="334"/>
      <c r="Y60" s="335"/>
      <c r="Z60" s="336"/>
      <c r="AA60" s="375"/>
      <c r="AB60" s="377"/>
      <c r="AC60" s="89">
        <f>ID_24!C12</f>
        <v>1931</v>
      </c>
      <c r="AD60" s="316"/>
      <c r="AE60" s="317"/>
      <c r="AF60" s="318"/>
      <c r="AG60" s="325"/>
      <c r="AH60" s="326"/>
      <c r="AI60" s="327"/>
      <c r="AJ60" s="334"/>
      <c r="AK60" s="335"/>
      <c r="AL60" s="336"/>
      <c r="AM60" s="92"/>
      <c r="AN60" s="92"/>
      <c r="AO60" s="144">
        <f t="shared" si="2"/>
        <v>113916</v>
      </c>
      <c r="AP60" s="409"/>
      <c r="AQ60" s="386"/>
      <c r="AR60" s="183">
        <f>(AO60/(IMF!G15*(J60/366)))*100</f>
        <v>6.227707474457788E-3</v>
      </c>
    </row>
    <row r="61" spans="1:44" ht="40.049999999999997" customHeight="1">
      <c r="A61" s="382"/>
      <c r="B61" s="382"/>
      <c r="C61" s="382"/>
      <c r="D61" s="382"/>
      <c r="E61" s="382"/>
      <c r="F61" s="382"/>
      <c r="G61" s="93" t="s">
        <v>261</v>
      </c>
      <c r="H61" s="251" t="s">
        <v>363</v>
      </c>
      <c r="I61" s="102" t="s">
        <v>524</v>
      </c>
      <c r="J61" s="155">
        <v>133</v>
      </c>
      <c r="K61" s="382"/>
      <c r="L61" s="382"/>
      <c r="M61" s="358"/>
      <c r="N61" s="93" t="s">
        <v>261</v>
      </c>
      <c r="O61" s="344"/>
      <c r="P61" s="344"/>
      <c r="Q61" s="297">
        <f>ID_24!B13</f>
        <v>512961</v>
      </c>
      <c r="R61" s="316"/>
      <c r="S61" s="317"/>
      <c r="T61" s="318"/>
      <c r="U61" s="325"/>
      <c r="V61" s="326"/>
      <c r="W61" s="327"/>
      <c r="X61" s="334"/>
      <c r="Y61" s="335"/>
      <c r="Z61" s="336"/>
      <c r="AA61" s="375"/>
      <c r="AB61" s="377"/>
      <c r="AC61" s="89">
        <f>ID_24!C13</f>
        <v>6839</v>
      </c>
      <c r="AD61" s="316"/>
      <c r="AE61" s="317"/>
      <c r="AF61" s="318"/>
      <c r="AG61" s="325"/>
      <c r="AH61" s="326"/>
      <c r="AI61" s="327"/>
      <c r="AJ61" s="334"/>
      <c r="AK61" s="335"/>
      <c r="AL61" s="336"/>
      <c r="AM61" s="92"/>
      <c r="AN61" s="92"/>
      <c r="AO61" s="144">
        <f t="shared" si="2"/>
        <v>512961</v>
      </c>
      <c r="AP61" s="409"/>
      <c r="AQ61" s="386"/>
      <c r="AR61" s="183">
        <f>(AO61/(IMF!G16*(J61/366)))*100</f>
        <v>5.3705941348577649E-3</v>
      </c>
    </row>
    <row r="62" spans="1:44" ht="40.049999999999997" customHeight="1">
      <c r="A62" s="382"/>
      <c r="B62" s="382"/>
      <c r="C62" s="382"/>
      <c r="D62" s="382"/>
      <c r="E62" s="382"/>
      <c r="F62" s="382"/>
      <c r="G62" s="93" t="s">
        <v>260</v>
      </c>
      <c r="H62" s="251" t="s">
        <v>389</v>
      </c>
      <c r="I62" s="102" t="s">
        <v>524</v>
      </c>
      <c r="J62" s="155">
        <v>91</v>
      </c>
      <c r="K62" s="382"/>
      <c r="L62" s="382"/>
      <c r="M62" s="358"/>
      <c r="N62" s="93" t="s">
        <v>260</v>
      </c>
      <c r="O62" s="344"/>
      <c r="P62" s="344"/>
      <c r="Q62" s="297">
        <f>ID_24!B14</f>
        <v>118955</v>
      </c>
      <c r="R62" s="316"/>
      <c r="S62" s="317"/>
      <c r="T62" s="318"/>
      <c r="U62" s="325"/>
      <c r="V62" s="326"/>
      <c r="W62" s="327"/>
      <c r="X62" s="334"/>
      <c r="Y62" s="335"/>
      <c r="Z62" s="336"/>
      <c r="AA62" s="375"/>
      <c r="AB62" s="377"/>
      <c r="AC62" s="89">
        <f>ID_24!C14</f>
        <v>16994</v>
      </c>
      <c r="AD62" s="316"/>
      <c r="AE62" s="317"/>
      <c r="AF62" s="318"/>
      <c r="AG62" s="325"/>
      <c r="AH62" s="326"/>
      <c r="AI62" s="327"/>
      <c r="AJ62" s="334"/>
      <c r="AK62" s="335"/>
      <c r="AL62" s="336"/>
      <c r="AM62" s="92"/>
      <c r="AN62" s="92"/>
      <c r="AO62" s="144">
        <f t="shared" si="2"/>
        <v>118955</v>
      </c>
      <c r="AP62" s="409"/>
      <c r="AQ62" s="386"/>
      <c r="AR62" s="183">
        <f>(AO62/(IMF!G18*(J62/366)))*100</f>
        <v>1.7442012234939686E-2</v>
      </c>
    </row>
    <row r="63" spans="1:44" ht="40.049999999999997" customHeight="1">
      <c r="A63" s="382"/>
      <c r="B63" s="382"/>
      <c r="C63" s="382"/>
      <c r="D63" s="382"/>
      <c r="E63" s="382"/>
      <c r="F63" s="382"/>
      <c r="G63" s="93" t="s">
        <v>259</v>
      </c>
      <c r="H63" s="251" t="s">
        <v>360</v>
      </c>
      <c r="I63" s="102" t="s">
        <v>524</v>
      </c>
      <c r="J63" s="155">
        <v>140</v>
      </c>
      <c r="K63" s="382"/>
      <c r="L63" s="382"/>
      <c r="M63" s="358"/>
      <c r="N63" s="93" t="s">
        <v>259</v>
      </c>
      <c r="O63" s="344"/>
      <c r="P63" s="344"/>
      <c r="Q63" s="297">
        <f>ID_24!B15</f>
        <v>1757306</v>
      </c>
      <c r="R63" s="316"/>
      <c r="S63" s="317"/>
      <c r="T63" s="318"/>
      <c r="U63" s="325"/>
      <c r="V63" s="326"/>
      <c r="W63" s="327"/>
      <c r="X63" s="334"/>
      <c r="Y63" s="335"/>
      <c r="Z63" s="336"/>
      <c r="AA63" s="375"/>
      <c r="AB63" s="377"/>
      <c r="AC63" s="89">
        <f>ID_24!C15</f>
        <v>17228</v>
      </c>
      <c r="AD63" s="316"/>
      <c r="AE63" s="317"/>
      <c r="AF63" s="318"/>
      <c r="AG63" s="325"/>
      <c r="AH63" s="326"/>
      <c r="AI63" s="327"/>
      <c r="AJ63" s="334"/>
      <c r="AK63" s="335"/>
      <c r="AL63" s="336"/>
      <c r="AM63" s="92"/>
      <c r="AN63" s="92"/>
      <c r="AO63" s="144">
        <f t="shared" ref="AO63:AO89" si="3">Q63</f>
        <v>1757306</v>
      </c>
      <c r="AP63" s="409"/>
      <c r="AQ63" s="386"/>
      <c r="AR63" s="183">
        <f>(AO63/(IMF!G19*(J63/366)))*100</f>
        <v>3.1864305481654992E-3</v>
      </c>
    </row>
    <row r="64" spans="1:44" ht="40.049999999999997" customHeight="1">
      <c r="A64" s="382"/>
      <c r="B64" s="382"/>
      <c r="C64" s="382"/>
      <c r="D64" s="382"/>
      <c r="E64" s="382"/>
      <c r="F64" s="382"/>
      <c r="G64" s="93" t="s">
        <v>258</v>
      </c>
      <c r="H64" s="251" t="s">
        <v>360</v>
      </c>
      <c r="I64" s="102" t="s">
        <v>524</v>
      </c>
      <c r="J64" s="155">
        <v>140</v>
      </c>
      <c r="K64" s="382"/>
      <c r="L64" s="382"/>
      <c r="M64" s="358"/>
      <c r="N64" s="93" t="s">
        <v>258</v>
      </c>
      <c r="O64" s="344"/>
      <c r="P64" s="344"/>
      <c r="Q64" s="297">
        <f>ID_24!B16</f>
        <v>848346</v>
      </c>
      <c r="R64" s="316"/>
      <c r="S64" s="317"/>
      <c r="T64" s="318"/>
      <c r="U64" s="325"/>
      <c r="V64" s="326"/>
      <c r="W64" s="327"/>
      <c r="X64" s="334"/>
      <c r="Y64" s="335"/>
      <c r="Z64" s="336"/>
      <c r="AA64" s="375"/>
      <c r="AB64" s="377"/>
      <c r="AC64" s="89">
        <f>ID_24!C16</f>
        <v>3946</v>
      </c>
      <c r="AD64" s="316"/>
      <c r="AE64" s="317"/>
      <c r="AF64" s="318"/>
      <c r="AG64" s="325"/>
      <c r="AH64" s="326"/>
      <c r="AI64" s="327"/>
      <c r="AJ64" s="334"/>
      <c r="AK64" s="335"/>
      <c r="AL64" s="336"/>
      <c r="AM64" s="92"/>
      <c r="AN64" s="92"/>
      <c r="AO64" s="144">
        <f t="shared" si="3"/>
        <v>848346</v>
      </c>
      <c r="AP64" s="409"/>
      <c r="AQ64" s="386"/>
      <c r="AR64" s="183">
        <f>(AO64/(IMF!G21*(J64/366)))*100</f>
        <v>2.1042124010393162E-3</v>
      </c>
    </row>
    <row r="65" spans="1:44" ht="40.049999999999997" customHeight="1">
      <c r="A65" s="382"/>
      <c r="B65" s="382"/>
      <c r="C65" s="382"/>
      <c r="D65" s="382"/>
      <c r="E65" s="382"/>
      <c r="F65" s="382"/>
      <c r="G65" s="93" t="s">
        <v>257</v>
      </c>
      <c r="H65" s="251" t="s">
        <v>363</v>
      </c>
      <c r="I65" s="102" t="s">
        <v>524</v>
      </c>
      <c r="J65" s="155">
        <v>133</v>
      </c>
      <c r="K65" s="382"/>
      <c r="L65" s="382"/>
      <c r="M65" s="358"/>
      <c r="N65" s="93" t="s">
        <v>257</v>
      </c>
      <c r="O65" s="344"/>
      <c r="P65" s="344"/>
      <c r="Q65" s="297">
        <f>ID_24!B17</f>
        <v>2375995</v>
      </c>
      <c r="R65" s="316"/>
      <c r="S65" s="317"/>
      <c r="T65" s="318"/>
      <c r="U65" s="325"/>
      <c r="V65" s="326"/>
      <c r="W65" s="327"/>
      <c r="X65" s="334"/>
      <c r="Y65" s="335"/>
      <c r="Z65" s="336"/>
      <c r="AA65" s="375"/>
      <c r="AB65" s="377"/>
      <c r="AC65" s="89">
        <f>ID_24!C17</f>
        <v>40965</v>
      </c>
      <c r="AD65" s="316"/>
      <c r="AE65" s="317"/>
      <c r="AF65" s="318"/>
      <c r="AG65" s="325"/>
      <c r="AH65" s="326"/>
      <c r="AI65" s="327"/>
      <c r="AJ65" s="334"/>
      <c r="AK65" s="335"/>
      <c r="AL65" s="336"/>
      <c r="AM65" s="92"/>
      <c r="AN65" s="92"/>
      <c r="AO65" s="144">
        <f t="shared" si="3"/>
        <v>2375995</v>
      </c>
      <c r="AP65" s="409"/>
      <c r="AQ65" s="386"/>
      <c r="AR65" s="183">
        <f>(AO65/(IMF!G22*(J65/366)))*100</f>
        <v>0.11933660167941298</v>
      </c>
    </row>
    <row r="66" spans="1:44" ht="40.049999999999997" customHeight="1">
      <c r="A66" s="382"/>
      <c r="B66" s="382"/>
      <c r="C66" s="382"/>
      <c r="D66" s="382"/>
      <c r="E66" s="382"/>
      <c r="F66" s="382"/>
      <c r="G66" s="93" t="s">
        <v>256</v>
      </c>
      <c r="H66" s="251" t="s">
        <v>390</v>
      </c>
      <c r="I66" s="102" t="s">
        <v>524</v>
      </c>
      <c r="J66" s="155">
        <v>168</v>
      </c>
      <c r="K66" s="382"/>
      <c r="L66" s="382"/>
      <c r="M66" s="358"/>
      <c r="N66" s="93" t="s">
        <v>256</v>
      </c>
      <c r="O66" s="344"/>
      <c r="P66" s="344"/>
      <c r="Q66" s="297">
        <f>ID_24!B18</f>
        <v>697921220</v>
      </c>
      <c r="R66" s="316"/>
      <c r="S66" s="317"/>
      <c r="T66" s="318"/>
      <c r="U66" s="325"/>
      <c r="V66" s="326"/>
      <c r="W66" s="327"/>
      <c r="X66" s="334"/>
      <c r="Y66" s="335"/>
      <c r="Z66" s="336"/>
      <c r="AA66" s="375"/>
      <c r="AB66" s="377"/>
      <c r="AC66" s="89">
        <f>ID_24!C18</f>
        <v>145249</v>
      </c>
      <c r="AD66" s="316"/>
      <c r="AE66" s="317"/>
      <c r="AF66" s="318"/>
      <c r="AG66" s="325"/>
      <c r="AH66" s="326"/>
      <c r="AI66" s="327"/>
      <c r="AJ66" s="334"/>
      <c r="AK66" s="335"/>
      <c r="AL66" s="336"/>
      <c r="AM66" s="92"/>
      <c r="AN66" s="92"/>
      <c r="AO66" s="144">
        <f t="shared" si="3"/>
        <v>697921220</v>
      </c>
      <c r="AP66" s="409"/>
      <c r="AQ66" s="386"/>
      <c r="AR66" s="183">
        <f>(AO66/(IMF!G23*(J66/366)))*100</f>
        <v>0.11173083780135669</v>
      </c>
    </row>
    <row r="67" spans="1:44" ht="40.049999999999997" customHeight="1">
      <c r="A67" s="382"/>
      <c r="B67" s="382"/>
      <c r="C67" s="382"/>
      <c r="D67" s="382"/>
      <c r="E67" s="382"/>
      <c r="F67" s="382"/>
      <c r="G67" s="93" t="s">
        <v>255</v>
      </c>
      <c r="H67" s="251" t="s">
        <v>360</v>
      </c>
      <c r="I67" s="102" t="s">
        <v>524</v>
      </c>
      <c r="J67" s="155">
        <v>140</v>
      </c>
      <c r="K67" s="382"/>
      <c r="L67" s="382"/>
      <c r="M67" s="358"/>
      <c r="N67" s="93" t="s">
        <v>255</v>
      </c>
      <c r="O67" s="344"/>
      <c r="P67" s="344"/>
      <c r="Q67" s="297">
        <f>ID_24!B19</f>
        <v>6520729</v>
      </c>
      <c r="R67" s="316"/>
      <c r="S67" s="317"/>
      <c r="T67" s="318"/>
      <c r="U67" s="325"/>
      <c r="V67" s="326"/>
      <c r="W67" s="327"/>
      <c r="X67" s="334"/>
      <c r="Y67" s="335"/>
      <c r="Z67" s="336"/>
      <c r="AA67" s="375"/>
      <c r="AB67" s="377"/>
      <c r="AC67" s="89">
        <f>ID_24!C19</f>
        <v>78563</v>
      </c>
      <c r="AD67" s="316"/>
      <c r="AE67" s="317"/>
      <c r="AF67" s="318"/>
      <c r="AG67" s="325"/>
      <c r="AH67" s="326"/>
      <c r="AI67" s="327"/>
      <c r="AJ67" s="334"/>
      <c r="AK67" s="335"/>
      <c r="AL67" s="336"/>
      <c r="AM67" s="92"/>
      <c r="AN67" s="92"/>
      <c r="AO67" s="144">
        <f t="shared" si="3"/>
        <v>6520729</v>
      </c>
      <c r="AP67" s="409"/>
      <c r="AQ67" s="386"/>
      <c r="AR67" s="183">
        <f>(AO67/(IMF!G24*(J67/366)))*100</f>
        <v>6.7222874212029549E-2</v>
      </c>
    </row>
    <row r="68" spans="1:44" ht="40.049999999999997" customHeight="1">
      <c r="A68" s="382"/>
      <c r="B68" s="382"/>
      <c r="C68" s="382"/>
      <c r="D68" s="382"/>
      <c r="E68" s="382"/>
      <c r="F68" s="382"/>
      <c r="G68" s="93" t="s">
        <v>254</v>
      </c>
      <c r="H68" s="251" t="s">
        <v>363</v>
      </c>
      <c r="I68" s="102" t="s">
        <v>524</v>
      </c>
      <c r="J68" s="155">
        <v>133</v>
      </c>
      <c r="K68" s="382"/>
      <c r="L68" s="382"/>
      <c r="M68" s="358"/>
      <c r="N68" s="93" t="s">
        <v>254</v>
      </c>
      <c r="O68" s="344"/>
      <c r="P68" s="344"/>
      <c r="Q68" s="297">
        <f>ID_24!B20</f>
        <v>0</v>
      </c>
      <c r="R68" s="316"/>
      <c r="S68" s="317"/>
      <c r="T68" s="318"/>
      <c r="U68" s="325"/>
      <c r="V68" s="326"/>
      <c r="W68" s="327"/>
      <c r="X68" s="334"/>
      <c r="Y68" s="335"/>
      <c r="Z68" s="336"/>
      <c r="AA68" s="375"/>
      <c r="AB68" s="377"/>
      <c r="AC68" s="89">
        <f>ID_24!C20</f>
        <v>0</v>
      </c>
      <c r="AD68" s="316"/>
      <c r="AE68" s="317"/>
      <c r="AF68" s="318"/>
      <c r="AG68" s="325"/>
      <c r="AH68" s="326"/>
      <c r="AI68" s="327"/>
      <c r="AJ68" s="334"/>
      <c r="AK68" s="335"/>
      <c r="AL68" s="336"/>
      <c r="AM68" s="92"/>
      <c r="AN68" s="92"/>
      <c r="AO68" s="144">
        <f t="shared" si="3"/>
        <v>0</v>
      </c>
      <c r="AP68" s="409"/>
      <c r="AQ68" s="386"/>
      <c r="AR68" s="295">
        <v>0</v>
      </c>
    </row>
    <row r="69" spans="1:44" ht="40.049999999999997" customHeight="1">
      <c r="A69" s="382"/>
      <c r="B69" s="382"/>
      <c r="C69" s="382"/>
      <c r="D69" s="382"/>
      <c r="E69" s="382"/>
      <c r="F69" s="382"/>
      <c r="G69" s="93" t="s">
        <v>253</v>
      </c>
      <c r="H69" s="251" t="s">
        <v>360</v>
      </c>
      <c r="I69" s="102" t="s">
        <v>524</v>
      </c>
      <c r="J69" s="155">
        <v>140</v>
      </c>
      <c r="K69" s="382"/>
      <c r="L69" s="382"/>
      <c r="M69" s="358"/>
      <c r="N69" s="93" t="s">
        <v>253</v>
      </c>
      <c r="O69" s="344"/>
      <c r="P69" s="344"/>
      <c r="Q69" s="297">
        <f>ID_24!B21</f>
        <v>5155489</v>
      </c>
      <c r="R69" s="316"/>
      <c r="S69" s="317"/>
      <c r="T69" s="318"/>
      <c r="U69" s="325"/>
      <c r="V69" s="326"/>
      <c r="W69" s="327"/>
      <c r="X69" s="334"/>
      <c r="Y69" s="335"/>
      <c r="Z69" s="336"/>
      <c r="AA69" s="375"/>
      <c r="AB69" s="377"/>
      <c r="AC69" s="89">
        <f>ID_24!C21</f>
        <v>18816</v>
      </c>
      <c r="AD69" s="316"/>
      <c r="AE69" s="317"/>
      <c r="AF69" s="318"/>
      <c r="AG69" s="325"/>
      <c r="AH69" s="326"/>
      <c r="AI69" s="327"/>
      <c r="AJ69" s="334"/>
      <c r="AK69" s="335"/>
      <c r="AL69" s="336"/>
      <c r="AM69" s="92"/>
      <c r="AN69" s="92"/>
      <c r="AO69" s="144">
        <f t="shared" si="3"/>
        <v>5155489</v>
      </c>
      <c r="AP69" s="409"/>
      <c r="AQ69" s="386"/>
      <c r="AR69" s="183">
        <f>(AO69/(IMF!G26*(J69/366)))*100</f>
        <v>4.7641324416965274E-3</v>
      </c>
    </row>
    <row r="70" spans="1:44" ht="40.049999999999997" customHeight="1">
      <c r="A70" s="382"/>
      <c r="B70" s="382"/>
      <c r="C70" s="382"/>
      <c r="D70" s="382"/>
      <c r="E70" s="382"/>
      <c r="F70" s="382"/>
      <c r="G70" s="93" t="s">
        <v>252</v>
      </c>
      <c r="H70" s="251" t="s">
        <v>360</v>
      </c>
      <c r="I70" s="102" t="s">
        <v>524</v>
      </c>
      <c r="J70" s="155">
        <v>140</v>
      </c>
      <c r="K70" s="382"/>
      <c r="L70" s="382"/>
      <c r="M70" s="358"/>
      <c r="N70" s="93" t="s">
        <v>252</v>
      </c>
      <c r="O70" s="344"/>
      <c r="P70" s="344"/>
      <c r="Q70" s="297">
        <f>ID_24!B22</f>
        <v>6766041</v>
      </c>
      <c r="R70" s="316"/>
      <c r="S70" s="317"/>
      <c r="T70" s="318"/>
      <c r="U70" s="325"/>
      <c r="V70" s="326"/>
      <c r="W70" s="327"/>
      <c r="X70" s="334"/>
      <c r="Y70" s="335"/>
      <c r="Z70" s="336"/>
      <c r="AA70" s="375"/>
      <c r="AB70" s="377"/>
      <c r="AC70" s="89">
        <f>ID_24!C22</f>
        <v>138082</v>
      </c>
      <c r="AD70" s="316"/>
      <c r="AE70" s="317"/>
      <c r="AF70" s="318"/>
      <c r="AG70" s="325"/>
      <c r="AH70" s="326"/>
      <c r="AI70" s="327"/>
      <c r="AJ70" s="334"/>
      <c r="AK70" s="335"/>
      <c r="AL70" s="336"/>
      <c r="AM70" s="92"/>
      <c r="AN70" s="92"/>
      <c r="AO70" s="144">
        <f t="shared" si="3"/>
        <v>6766041</v>
      </c>
      <c r="AP70" s="409"/>
      <c r="AQ70" s="386"/>
      <c r="AR70" s="183">
        <f>(AO70/(IMF!G28*(J70/366)))*100</f>
        <v>5.2550101986249063E-2</v>
      </c>
    </row>
    <row r="71" spans="1:44" ht="40.049999999999997" customHeight="1">
      <c r="A71" s="382"/>
      <c r="B71" s="382"/>
      <c r="C71" s="382"/>
      <c r="D71" s="382"/>
      <c r="E71" s="382"/>
      <c r="F71" s="382"/>
      <c r="G71" s="93" t="s">
        <v>251</v>
      </c>
      <c r="H71" s="251" t="s">
        <v>363</v>
      </c>
      <c r="I71" s="102" t="s">
        <v>524</v>
      </c>
      <c r="J71" s="155">
        <v>133</v>
      </c>
      <c r="K71" s="382"/>
      <c r="L71" s="382"/>
      <c r="M71" s="358"/>
      <c r="N71" s="93" t="s">
        <v>251</v>
      </c>
      <c r="O71" s="344"/>
      <c r="P71" s="344"/>
      <c r="Q71" s="297">
        <f>ID_24!B23</f>
        <v>135573</v>
      </c>
      <c r="R71" s="316"/>
      <c r="S71" s="317"/>
      <c r="T71" s="318"/>
      <c r="U71" s="325"/>
      <c r="V71" s="326"/>
      <c r="W71" s="327"/>
      <c r="X71" s="334"/>
      <c r="Y71" s="335"/>
      <c r="Z71" s="336"/>
      <c r="AA71" s="375"/>
      <c r="AB71" s="377"/>
      <c r="AC71" s="89">
        <f>ID_24!C23</f>
        <v>15064</v>
      </c>
      <c r="AD71" s="316"/>
      <c r="AE71" s="317"/>
      <c r="AF71" s="318"/>
      <c r="AG71" s="325"/>
      <c r="AH71" s="326"/>
      <c r="AI71" s="327"/>
      <c r="AJ71" s="334"/>
      <c r="AK71" s="335"/>
      <c r="AL71" s="336"/>
      <c r="AM71" s="92"/>
      <c r="AN71" s="92"/>
      <c r="AO71" s="144">
        <f t="shared" si="3"/>
        <v>135573</v>
      </c>
      <c r="AP71" s="409"/>
      <c r="AQ71" s="386"/>
      <c r="AR71" s="183">
        <f>(AO71/(IMF!G29*(J71/366)))*100</f>
        <v>6.7197511971571582E-3</v>
      </c>
    </row>
    <row r="72" spans="1:44" ht="40.049999999999997" customHeight="1">
      <c r="A72" s="382"/>
      <c r="B72" s="382"/>
      <c r="C72" s="382"/>
      <c r="D72" s="382"/>
      <c r="E72" s="382"/>
      <c r="F72" s="382"/>
      <c r="G72" s="93" t="s">
        <v>250</v>
      </c>
      <c r="H72" s="251" t="s">
        <v>360</v>
      </c>
      <c r="I72" s="102" t="s">
        <v>524</v>
      </c>
      <c r="J72" s="155">
        <v>140</v>
      </c>
      <c r="K72" s="382"/>
      <c r="L72" s="382"/>
      <c r="M72" s="358"/>
      <c r="N72" s="93" t="s">
        <v>250</v>
      </c>
      <c r="O72" s="344"/>
      <c r="P72" s="344"/>
      <c r="Q72" s="297">
        <f>ID_24!B24</f>
        <v>7661250</v>
      </c>
      <c r="R72" s="316"/>
      <c r="S72" s="317"/>
      <c r="T72" s="318"/>
      <c r="U72" s="325"/>
      <c r="V72" s="326"/>
      <c r="W72" s="327"/>
      <c r="X72" s="334"/>
      <c r="Y72" s="335"/>
      <c r="Z72" s="336"/>
      <c r="AA72" s="375"/>
      <c r="AB72" s="377"/>
      <c r="AC72" s="89">
        <f>ID_24!C24</f>
        <v>42095</v>
      </c>
      <c r="AD72" s="316"/>
      <c r="AE72" s="317"/>
      <c r="AF72" s="318"/>
      <c r="AG72" s="325"/>
      <c r="AH72" s="326"/>
      <c r="AI72" s="327"/>
      <c r="AJ72" s="334"/>
      <c r="AK72" s="335"/>
      <c r="AL72" s="336"/>
      <c r="AM72" s="92"/>
      <c r="AN72" s="92"/>
      <c r="AO72" s="144">
        <f t="shared" si="3"/>
        <v>7661250</v>
      </c>
      <c r="AP72" s="409"/>
      <c r="AQ72" s="386"/>
      <c r="AR72" s="183">
        <f>(AO72/(IMF!G31*(J72/366)))*100</f>
        <v>1.1197348034087007E-2</v>
      </c>
    </row>
    <row r="73" spans="1:44" ht="40.049999999999997" customHeight="1">
      <c r="A73" s="382"/>
      <c r="B73" s="382"/>
      <c r="C73" s="382"/>
      <c r="D73" s="382"/>
      <c r="E73" s="382"/>
      <c r="F73" s="382"/>
      <c r="G73" s="93" t="s">
        <v>249</v>
      </c>
      <c r="H73" s="251" t="s">
        <v>360</v>
      </c>
      <c r="I73" s="102" t="s">
        <v>524</v>
      </c>
      <c r="J73" s="155">
        <v>140</v>
      </c>
      <c r="K73" s="382"/>
      <c r="L73" s="382"/>
      <c r="M73" s="358"/>
      <c r="N73" s="93" t="s">
        <v>249</v>
      </c>
      <c r="O73" s="344"/>
      <c r="P73" s="344"/>
      <c r="Q73" s="297">
        <f>ID_24!B25</f>
        <v>573643</v>
      </c>
      <c r="R73" s="316"/>
      <c r="S73" s="317"/>
      <c r="T73" s="318"/>
      <c r="U73" s="325"/>
      <c r="V73" s="326"/>
      <c r="W73" s="327"/>
      <c r="X73" s="334"/>
      <c r="Y73" s="335"/>
      <c r="Z73" s="336"/>
      <c r="AA73" s="375"/>
      <c r="AB73" s="377"/>
      <c r="AC73" s="89">
        <f>ID_24!C25</f>
        <v>12471</v>
      </c>
      <c r="AD73" s="316"/>
      <c r="AE73" s="317"/>
      <c r="AF73" s="318"/>
      <c r="AG73" s="325"/>
      <c r="AH73" s="326"/>
      <c r="AI73" s="327"/>
      <c r="AJ73" s="334"/>
      <c r="AK73" s="335"/>
      <c r="AL73" s="336"/>
      <c r="AM73" s="92"/>
      <c r="AN73" s="92"/>
      <c r="AO73" s="144">
        <f t="shared" si="3"/>
        <v>573643</v>
      </c>
      <c r="AP73" s="409"/>
      <c r="AQ73" s="386"/>
      <c r="AR73" s="183">
        <f>(AO73/(IMF!G32*(J73/366)))*100</f>
        <v>4.1382673362951525E-3</v>
      </c>
    </row>
    <row r="74" spans="1:44" ht="40.049999999999997" customHeight="1">
      <c r="A74" s="382"/>
      <c r="B74" s="382"/>
      <c r="C74" s="382"/>
      <c r="D74" s="382"/>
      <c r="E74" s="382"/>
      <c r="F74" s="382"/>
      <c r="G74" s="93" t="s">
        <v>248</v>
      </c>
      <c r="H74" s="251" t="s">
        <v>391</v>
      </c>
      <c r="I74" s="102" t="s">
        <v>524</v>
      </c>
      <c r="J74" s="155">
        <v>126</v>
      </c>
      <c r="K74" s="382"/>
      <c r="L74" s="382"/>
      <c r="M74" s="358"/>
      <c r="N74" s="93" t="s">
        <v>248</v>
      </c>
      <c r="O74" s="344"/>
      <c r="P74" s="344"/>
      <c r="Q74" s="297">
        <f>ID_24!B26</f>
        <v>211655</v>
      </c>
      <c r="R74" s="316"/>
      <c r="S74" s="317"/>
      <c r="T74" s="318"/>
      <c r="U74" s="325"/>
      <c r="V74" s="326"/>
      <c r="W74" s="327"/>
      <c r="X74" s="334"/>
      <c r="Y74" s="335"/>
      <c r="Z74" s="336"/>
      <c r="AA74" s="375"/>
      <c r="AB74" s="377"/>
      <c r="AC74" s="89">
        <f>ID_24!C26</f>
        <v>8141</v>
      </c>
      <c r="AD74" s="316"/>
      <c r="AE74" s="317"/>
      <c r="AF74" s="318"/>
      <c r="AG74" s="325"/>
      <c r="AH74" s="326"/>
      <c r="AI74" s="327"/>
      <c r="AJ74" s="334"/>
      <c r="AK74" s="335"/>
      <c r="AL74" s="336"/>
      <c r="AM74" s="92"/>
      <c r="AN74" s="92"/>
      <c r="AO74" s="144">
        <f t="shared" si="3"/>
        <v>211655</v>
      </c>
      <c r="AP74" s="409"/>
      <c r="AQ74" s="386"/>
      <c r="AR74" s="183">
        <f>(AO74/(IMF!G33*(J74/366)))*100</f>
        <v>1.3803488571000919E-2</v>
      </c>
    </row>
    <row r="75" spans="1:44" ht="40.049999999999997" customHeight="1">
      <c r="A75" s="382"/>
      <c r="B75" s="382"/>
      <c r="C75" s="382"/>
      <c r="D75" s="382"/>
      <c r="E75" s="382"/>
      <c r="F75" s="382"/>
      <c r="G75" s="93" t="s">
        <v>247</v>
      </c>
      <c r="H75" s="251" t="s">
        <v>360</v>
      </c>
      <c r="I75" s="102" t="s">
        <v>524</v>
      </c>
      <c r="J75" s="155">
        <v>140</v>
      </c>
      <c r="K75" s="382"/>
      <c r="L75" s="382"/>
      <c r="M75" s="358"/>
      <c r="N75" s="93" t="s">
        <v>247</v>
      </c>
      <c r="O75" s="344"/>
      <c r="P75" s="344"/>
      <c r="Q75" s="297">
        <f>ID_24!B27</f>
        <v>9543972</v>
      </c>
      <c r="R75" s="316"/>
      <c r="S75" s="317"/>
      <c r="T75" s="318"/>
      <c r="U75" s="325"/>
      <c r="V75" s="326"/>
      <c r="W75" s="327"/>
      <c r="X75" s="334"/>
      <c r="Y75" s="335"/>
      <c r="Z75" s="336"/>
      <c r="AA75" s="375"/>
      <c r="AB75" s="377"/>
      <c r="AC75" s="89">
        <f>ID_24!C27</f>
        <v>27988</v>
      </c>
      <c r="AD75" s="316"/>
      <c r="AE75" s="317"/>
      <c r="AF75" s="318"/>
      <c r="AG75" s="325"/>
      <c r="AH75" s="326"/>
      <c r="AI75" s="327"/>
      <c r="AJ75" s="334"/>
      <c r="AK75" s="335"/>
      <c r="AL75" s="336"/>
      <c r="AM75" s="92"/>
      <c r="AN75" s="92"/>
      <c r="AO75" s="144">
        <f t="shared" si="3"/>
        <v>9543972</v>
      </c>
      <c r="AP75" s="409"/>
      <c r="AQ75" s="386"/>
      <c r="AR75" s="183">
        <f>(AO75/(IMF!G39*(J75/366)))*100</f>
        <v>1.0103612767523064E-2</v>
      </c>
    </row>
    <row r="76" spans="1:44" ht="40.049999999999997" customHeight="1">
      <c r="A76" s="382"/>
      <c r="B76" s="382"/>
      <c r="C76" s="382"/>
      <c r="D76" s="382"/>
      <c r="E76" s="382"/>
      <c r="F76" s="382"/>
      <c r="G76" s="93" t="s">
        <v>246</v>
      </c>
      <c r="H76" s="251" t="s">
        <v>392</v>
      </c>
      <c r="I76" s="102" t="s">
        <v>524</v>
      </c>
      <c r="J76" s="155">
        <v>77</v>
      </c>
      <c r="K76" s="382"/>
      <c r="L76" s="382"/>
      <c r="M76" s="358"/>
      <c r="N76" s="93" t="s">
        <v>246</v>
      </c>
      <c r="O76" s="344"/>
      <c r="P76" s="344"/>
      <c r="Q76" s="297">
        <f>ID_24!B28</f>
        <v>119827</v>
      </c>
      <c r="R76" s="316"/>
      <c r="S76" s="317"/>
      <c r="T76" s="318"/>
      <c r="U76" s="325"/>
      <c r="V76" s="326"/>
      <c r="W76" s="327"/>
      <c r="X76" s="334"/>
      <c r="Y76" s="335"/>
      <c r="Z76" s="336"/>
      <c r="AA76" s="375"/>
      <c r="AB76" s="377"/>
      <c r="AC76" s="89">
        <f>ID_24!C28</f>
        <v>9217</v>
      </c>
      <c r="AD76" s="316"/>
      <c r="AE76" s="317"/>
      <c r="AF76" s="318"/>
      <c r="AG76" s="325"/>
      <c r="AH76" s="326"/>
      <c r="AI76" s="327"/>
      <c r="AJ76" s="334"/>
      <c r="AK76" s="335"/>
      <c r="AL76" s="336"/>
      <c r="AM76" s="92"/>
      <c r="AN76" s="92"/>
      <c r="AO76" s="144">
        <f t="shared" si="3"/>
        <v>119827</v>
      </c>
      <c r="AP76" s="409"/>
      <c r="AQ76" s="386"/>
      <c r="AR76" s="183">
        <f>(AO76/(IMF!G40*(J76/366)))*100</f>
        <v>1.0136453082422114E-2</v>
      </c>
    </row>
    <row r="77" spans="1:44" ht="40.049999999999997" customHeight="1">
      <c r="A77" s="382"/>
      <c r="B77" s="382"/>
      <c r="C77" s="382"/>
      <c r="D77" s="382"/>
      <c r="E77" s="382"/>
      <c r="F77" s="382"/>
      <c r="G77" s="93" t="s">
        <v>245</v>
      </c>
      <c r="H77" s="251" t="s">
        <v>363</v>
      </c>
      <c r="I77" s="102" t="s">
        <v>524</v>
      </c>
      <c r="J77" s="155">
        <v>133</v>
      </c>
      <c r="K77" s="382"/>
      <c r="L77" s="382"/>
      <c r="M77" s="358"/>
      <c r="N77" s="93" t="s">
        <v>245</v>
      </c>
      <c r="O77" s="344"/>
      <c r="P77" s="344"/>
      <c r="Q77" s="297">
        <f>ID_24!B29</f>
        <v>607756</v>
      </c>
      <c r="R77" s="316"/>
      <c r="S77" s="317"/>
      <c r="T77" s="318"/>
      <c r="U77" s="325"/>
      <c r="V77" s="326"/>
      <c r="W77" s="327"/>
      <c r="X77" s="334"/>
      <c r="Y77" s="335"/>
      <c r="Z77" s="336"/>
      <c r="AA77" s="375"/>
      <c r="AB77" s="377"/>
      <c r="AC77" s="89">
        <f>ID_24!C29</f>
        <v>8103</v>
      </c>
      <c r="AD77" s="316"/>
      <c r="AE77" s="317"/>
      <c r="AF77" s="318"/>
      <c r="AG77" s="325"/>
      <c r="AH77" s="326"/>
      <c r="AI77" s="327"/>
      <c r="AJ77" s="334"/>
      <c r="AK77" s="335"/>
      <c r="AL77" s="336"/>
      <c r="AM77" s="92"/>
      <c r="AN77" s="92"/>
      <c r="AO77" s="144">
        <f t="shared" si="3"/>
        <v>607756</v>
      </c>
      <c r="AP77" s="409"/>
      <c r="AQ77" s="386"/>
      <c r="AR77" s="183">
        <f>(AO77/(IMF!G41*(J77/366)))*100</f>
        <v>2.2957740542158416E-2</v>
      </c>
    </row>
    <row r="78" spans="1:44" ht="40.049999999999997" customHeight="1">
      <c r="A78" s="382"/>
      <c r="B78" s="382"/>
      <c r="C78" s="382"/>
      <c r="D78" s="382"/>
      <c r="E78" s="382"/>
      <c r="F78" s="382"/>
      <c r="G78" s="93" t="s">
        <v>244</v>
      </c>
      <c r="H78" s="251" t="s">
        <v>391</v>
      </c>
      <c r="I78" s="102" t="s">
        <v>524</v>
      </c>
      <c r="J78" s="155">
        <v>126</v>
      </c>
      <c r="K78" s="382"/>
      <c r="L78" s="382"/>
      <c r="M78" s="358"/>
      <c r="N78" s="93" t="s">
        <v>244</v>
      </c>
      <c r="O78" s="344"/>
      <c r="P78" s="344"/>
      <c r="Q78" s="297">
        <f>ID_24!B30</f>
        <v>7111555</v>
      </c>
      <c r="R78" s="316"/>
      <c r="S78" s="317"/>
      <c r="T78" s="318"/>
      <c r="U78" s="325"/>
      <c r="V78" s="326"/>
      <c r="W78" s="327"/>
      <c r="X78" s="334"/>
      <c r="Y78" s="335"/>
      <c r="Z78" s="336"/>
      <c r="AA78" s="375"/>
      <c r="AB78" s="377"/>
      <c r="AC78" s="89">
        <f>ID_24!C30</f>
        <v>96102</v>
      </c>
      <c r="AD78" s="316"/>
      <c r="AE78" s="317"/>
      <c r="AF78" s="318"/>
      <c r="AG78" s="325"/>
      <c r="AH78" s="326"/>
      <c r="AI78" s="327"/>
      <c r="AJ78" s="334"/>
      <c r="AK78" s="335"/>
      <c r="AL78" s="336"/>
      <c r="AM78" s="92"/>
      <c r="AN78" s="92"/>
      <c r="AO78" s="144">
        <f t="shared" si="3"/>
        <v>7111555</v>
      </c>
      <c r="AP78" s="409"/>
      <c r="AQ78" s="386"/>
      <c r="AR78" s="183">
        <f>(AO78/(IMF!G42*(J78/366)))*100</f>
        <v>1.8731580279122469E-2</v>
      </c>
    </row>
    <row r="79" spans="1:44" ht="40.049999999999997" customHeight="1">
      <c r="A79" s="382"/>
      <c r="B79" s="382"/>
      <c r="C79" s="382"/>
      <c r="D79" s="382"/>
      <c r="E79" s="382"/>
      <c r="F79" s="382"/>
      <c r="G79" s="93" t="s">
        <v>243</v>
      </c>
      <c r="H79" s="251" t="s">
        <v>363</v>
      </c>
      <c r="I79" s="102" t="s">
        <v>524</v>
      </c>
      <c r="J79" s="155">
        <v>133</v>
      </c>
      <c r="K79" s="382"/>
      <c r="L79" s="382"/>
      <c r="M79" s="358"/>
      <c r="N79" s="93" t="s">
        <v>243</v>
      </c>
      <c r="O79" s="344"/>
      <c r="P79" s="344"/>
      <c r="Q79" s="297">
        <f>ID_24!B31</f>
        <v>1366586</v>
      </c>
      <c r="R79" s="316"/>
      <c r="S79" s="317"/>
      <c r="T79" s="318"/>
      <c r="U79" s="325"/>
      <c r="V79" s="326"/>
      <c r="W79" s="327"/>
      <c r="X79" s="334"/>
      <c r="Y79" s="335"/>
      <c r="Z79" s="336"/>
      <c r="AA79" s="375"/>
      <c r="AB79" s="377"/>
      <c r="AC79" s="89">
        <f>ID_24!C31</f>
        <v>12892</v>
      </c>
      <c r="AD79" s="316"/>
      <c r="AE79" s="317"/>
      <c r="AF79" s="318"/>
      <c r="AG79" s="325"/>
      <c r="AH79" s="326"/>
      <c r="AI79" s="327"/>
      <c r="AJ79" s="334"/>
      <c r="AK79" s="335"/>
      <c r="AL79" s="336"/>
      <c r="AM79" s="92"/>
      <c r="AN79" s="92"/>
      <c r="AO79" s="144">
        <f t="shared" si="3"/>
        <v>1366586</v>
      </c>
      <c r="AP79" s="409"/>
      <c r="AQ79" s="386"/>
      <c r="AR79" s="183">
        <f>(AO79/(IMF!G43*(J79/366)))*100</f>
        <v>8.7849940914705004E-3</v>
      </c>
    </row>
    <row r="80" spans="1:44" ht="40.049999999999997" customHeight="1">
      <c r="A80" s="382"/>
      <c r="B80" s="382"/>
      <c r="C80" s="382"/>
      <c r="D80" s="382"/>
      <c r="E80" s="382"/>
      <c r="F80" s="382"/>
      <c r="G80" s="93" t="s">
        <v>242</v>
      </c>
      <c r="H80" s="251" t="s">
        <v>362</v>
      </c>
      <c r="I80" s="102" t="s">
        <v>524</v>
      </c>
      <c r="J80" s="155">
        <v>119</v>
      </c>
      <c r="K80" s="382"/>
      <c r="L80" s="382"/>
      <c r="M80" s="358"/>
      <c r="N80" s="93" t="s">
        <v>242</v>
      </c>
      <c r="O80" s="344"/>
      <c r="P80" s="344"/>
      <c r="Q80" s="297">
        <f>ID_24!B32</f>
        <v>795628</v>
      </c>
      <c r="R80" s="316"/>
      <c r="S80" s="317"/>
      <c r="T80" s="318"/>
      <c r="U80" s="325"/>
      <c r="V80" s="326"/>
      <c r="W80" s="327"/>
      <c r="X80" s="334"/>
      <c r="Y80" s="335"/>
      <c r="Z80" s="336"/>
      <c r="AA80" s="375"/>
      <c r="AB80" s="377"/>
      <c r="AC80" s="89">
        <f>ID_24!C32</f>
        <v>6979</v>
      </c>
      <c r="AD80" s="316"/>
      <c r="AE80" s="317"/>
      <c r="AF80" s="318"/>
      <c r="AG80" s="325"/>
      <c r="AH80" s="326"/>
      <c r="AI80" s="327"/>
      <c r="AJ80" s="334"/>
      <c r="AK80" s="335"/>
      <c r="AL80" s="336"/>
      <c r="AM80" s="92"/>
      <c r="AN80" s="92"/>
      <c r="AO80" s="144">
        <f t="shared" si="3"/>
        <v>795628</v>
      </c>
      <c r="AP80" s="409"/>
      <c r="AQ80" s="386"/>
      <c r="AR80" s="183">
        <f>(AO80/(IMF!G44*(J80/366)))*100</f>
        <v>8.0191956290954856E-3</v>
      </c>
    </row>
    <row r="81" spans="1:44" ht="40.049999999999997" customHeight="1">
      <c r="A81" s="382"/>
      <c r="B81" s="382"/>
      <c r="C81" s="382"/>
      <c r="D81" s="382"/>
      <c r="E81" s="382"/>
      <c r="F81" s="382"/>
      <c r="G81" s="93" t="s">
        <v>241</v>
      </c>
      <c r="H81" s="251" t="s">
        <v>391</v>
      </c>
      <c r="I81" s="102" t="s">
        <v>524</v>
      </c>
      <c r="J81" s="155">
        <v>126</v>
      </c>
      <c r="K81" s="382"/>
      <c r="L81" s="382"/>
      <c r="M81" s="358"/>
      <c r="N81" s="93" t="s">
        <v>241</v>
      </c>
      <c r="O81" s="344"/>
      <c r="P81" s="344"/>
      <c r="Q81" s="297">
        <f>ID_24!B33</f>
        <v>1358740</v>
      </c>
      <c r="R81" s="316"/>
      <c r="S81" s="317"/>
      <c r="T81" s="318"/>
      <c r="U81" s="325"/>
      <c r="V81" s="326"/>
      <c r="W81" s="327"/>
      <c r="X81" s="334"/>
      <c r="Y81" s="335"/>
      <c r="Z81" s="336"/>
      <c r="AA81" s="375"/>
      <c r="AB81" s="377"/>
      <c r="AC81" s="89">
        <f>ID_24!C33</f>
        <v>10958</v>
      </c>
      <c r="AD81" s="316"/>
      <c r="AE81" s="317"/>
      <c r="AF81" s="318"/>
      <c r="AG81" s="325"/>
      <c r="AH81" s="326"/>
      <c r="AI81" s="327"/>
      <c r="AJ81" s="334"/>
      <c r="AK81" s="335"/>
      <c r="AL81" s="336"/>
      <c r="AM81" s="92"/>
      <c r="AN81" s="92"/>
      <c r="AO81" s="144">
        <f t="shared" si="3"/>
        <v>1358740</v>
      </c>
      <c r="AP81" s="409"/>
      <c r="AQ81" s="386"/>
      <c r="AR81" s="183">
        <f>(AO81/(IMF!G45*(J81/366)))*100</f>
        <v>8.2916306522609045E-3</v>
      </c>
    </row>
    <row r="82" spans="1:44" ht="40.049999999999997" customHeight="1">
      <c r="A82" s="382"/>
      <c r="B82" s="382"/>
      <c r="C82" s="382"/>
      <c r="D82" s="382"/>
      <c r="E82" s="382"/>
      <c r="F82" s="382"/>
      <c r="G82" s="93" t="s">
        <v>240</v>
      </c>
      <c r="H82" s="251" t="s">
        <v>360</v>
      </c>
      <c r="I82" s="102" t="s">
        <v>524</v>
      </c>
      <c r="J82" s="155">
        <v>140</v>
      </c>
      <c r="K82" s="382"/>
      <c r="L82" s="382"/>
      <c r="M82" s="358"/>
      <c r="N82" s="93" t="s">
        <v>240</v>
      </c>
      <c r="O82" s="344"/>
      <c r="P82" s="344"/>
      <c r="Q82" s="297">
        <f>ID_24!B34</f>
        <v>4776900</v>
      </c>
      <c r="R82" s="316"/>
      <c r="S82" s="317"/>
      <c r="T82" s="318"/>
      <c r="U82" s="325"/>
      <c r="V82" s="326"/>
      <c r="W82" s="327"/>
      <c r="X82" s="334"/>
      <c r="Y82" s="335"/>
      <c r="Z82" s="336"/>
      <c r="AA82" s="375"/>
      <c r="AB82" s="377"/>
      <c r="AC82" s="89">
        <f>ID_24!C34</f>
        <v>30426</v>
      </c>
      <c r="AD82" s="316"/>
      <c r="AE82" s="317"/>
      <c r="AF82" s="318"/>
      <c r="AG82" s="325"/>
      <c r="AH82" s="326"/>
      <c r="AI82" s="327"/>
      <c r="AJ82" s="334"/>
      <c r="AK82" s="335"/>
      <c r="AL82" s="336"/>
      <c r="AM82" s="92"/>
      <c r="AN82" s="92"/>
      <c r="AO82" s="144">
        <f t="shared" si="3"/>
        <v>4776900</v>
      </c>
      <c r="AP82" s="409"/>
      <c r="AQ82" s="386"/>
      <c r="AR82" s="183">
        <f>(AO82/(IMF!G46*(J82/366)))*100</f>
        <v>4.9399451853526226E-2</v>
      </c>
    </row>
    <row r="83" spans="1:44" ht="40.049999999999997" customHeight="1">
      <c r="A83" s="382"/>
      <c r="B83" s="382"/>
      <c r="C83" s="382"/>
      <c r="D83" s="382"/>
      <c r="E83" s="382"/>
      <c r="F83" s="382"/>
      <c r="G83" s="93" t="s">
        <v>239</v>
      </c>
      <c r="H83" s="251" t="s">
        <v>363</v>
      </c>
      <c r="I83" s="102" t="s">
        <v>524</v>
      </c>
      <c r="J83" s="155">
        <v>133</v>
      </c>
      <c r="K83" s="382"/>
      <c r="L83" s="382"/>
      <c r="M83" s="358"/>
      <c r="N83" s="93" t="s">
        <v>239</v>
      </c>
      <c r="O83" s="344"/>
      <c r="P83" s="344"/>
      <c r="Q83" s="297">
        <f>ID_24!B35</f>
        <v>3071846</v>
      </c>
      <c r="R83" s="316"/>
      <c r="S83" s="317"/>
      <c r="T83" s="318"/>
      <c r="U83" s="325"/>
      <c r="V83" s="326"/>
      <c r="W83" s="327"/>
      <c r="X83" s="334"/>
      <c r="Y83" s="335"/>
      <c r="Z83" s="336"/>
      <c r="AA83" s="375"/>
      <c r="AB83" s="377"/>
      <c r="AC83" s="89">
        <f>ID_24!C35</f>
        <v>307185</v>
      </c>
      <c r="AD83" s="316"/>
      <c r="AE83" s="317"/>
      <c r="AF83" s="318"/>
      <c r="AG83" s="325"/>
      <c r="AH83" s="326"/>
      <c r="AI83" s="327"/>
      <c r="AJ83" s="334"/>
      <c r="AK83" s="335"/>
      <c r="AL83" s="336"/>
      <c r="AM83" s="92"/>
      <c r="AN83" s="92"/>
      <c r="AO83" s="144">
        <f t="shared" si="3"/>
        <v>3071846</v>
      </c>
      <c r="AP83" s="409"/>
      <c r="AQ83" s="386"/>
      <c r="AR83" s="183">
        <f>(AO83/(IMF!G47*(J83/366)))*100</f>
        <v>3.1271643410093745E-2</v>
      </c>
    </row>
    <row r="84" spans="1:44" ht="40.049999999999997" customHeight="1">
      <c r="A84" s="382"/>
      <c r="B84" s="382"/>
      <c r="C84" s="382"/>
      <c r="D84" s="382"/>
      <c r="E84" s="382"/>
      <c r="F84" s="382"/>
      <c r="G84" s="93" t="s">
        <v>238</v>
      </c>
      <c r="H84" s="251" t="s">
        <v>388</v>
      </c>
      <c r="I84" s="102" t="s">
        <v>524</v>
      </c>
      <c r="J84" s="155">
        <v>147</v>
      </c>
      <c r="K84" s="382"/>
      <c r="L84" s="382"/>
      <c r="M84" s="358"/>
      <c r="N84" s="93" t="s">
        <v>238</v>
      </c>
      <c r="O84" s="344"/>
      <c r="P84" s="344"/>
      <c r="Q84" s="297">
        <f>ID_24!B36</f>
        <v>42956126</v>
      </c>
      <c r="R84" s="316"/>
      <c r="S84" s="317"/>
      <c r="T84" s="318"/>
      <c r="U84" s="325"/>
      <c r="V84" s="326"/>
      <c r="W84" s="327"/>
      <c r="X84" s="334"/>
      <c r="Y84" s="335"/>
      <c r="Z84" s="336"/>
      <c r="AA84" s="375"/>
      <c r="AB84" s="377"/>
      <c r="AC84" s="89">
        <f>ID_24!C36</f>
        <v>145249</v>
      </c>
      <c r="AD84" s="316"/>
      <c r="AE84" s="317"/>
      <c r="AF84" s="318"/>
      <c r="AG84" s="325"/>
      <c r="AH84" s="326"/>
      <c r="AI84" s="327"/>
      <c r="AJ84" s="334"/>
      <c r="AK84" s="335"/>
      <c r="AL84" s="336"/>
      <c r="AM84" s="92"/>
      <c r="AN84" s="92"/>
      <c r="AO84" s="144">
        <f t="shared" si="3"/>
        <v>42956126</v>
      </c>
      <c r="AP84" s="409"/>
      <c r="AQ84" s="386"/>
      <c r="AR84" s="183">
        <f>(AO84/(IMF!G49*(J84/366)))*100</f>
        <v>3.6032608039779479E-2</v>
      </c>
    </row>
    <row r="85" spans="1:44" ht="40.049999999999997" customHeight="1">
      <c r="A85" s="382"/>
      <c r="B85" s="382"/>
      <c r="C85" s="382"/>
      <c r="D85" s="382"/>
      <c r="E85" s="382"/>
      <c r="F85" s="382"/>
      <c r="G85" s="93" t="s">
        <v>237</v>
      </c>
      <c r="H85" s="251" t="s">
        <v>391</v>
      </c>
      <c r="I85" s="102" t="s">
        <v>524</v>
      </c>
      <c r="J85" s="155">
        <v>126</v>
      </c>
      <c r="K85" s="382"/>
      <c r="L85" s="382"/>
      <c r="M85" s="358"/>
      <c r="N85" s="93" t="s">
        <v>237</v>
      </c>
      <c r="O85" s="344"/>
      <c r="P85" s="344"/>
      <c r="Q85" s="297">
        <f>ID_24!B37</f>
        <v>72363</v>
      </c>
      <c r="R85" s="316"/>
      <c r="S85" s="317"/>
      <c r="T85" s="318"/>
      <c r="U85" s="325"/>
      <c r="V85" s="326"/>
      <c r="W85" s="327"/>
      <c r="X85" s="334"/>
      <c r="Y85" s="335"/>
      <c r="Z85" s="336"/>
      <c r="AA85" s="375"/>
      <c r="AB85" s="377"/>
      <c r="AC85" s="89">
        <f>ID_24!C37</f>
        <v>6578</v>
      </c>
      <c r="AD85" s="316"/>
      <c r="AE85" s="317"/>
      <c r="AF85" s="318"/>
      <c r="AG85" s="325"/>
      <c r="AH85" s="326"/>
      <c r="AI85" s="327"/>
      <c r="AJ85" s="334"/>
      <c r="AK85" s="335"/>
      <c r="AL85" s="336"/>
      <c r="AM85" s="92"/>
      <c r="AN85" s="92"/>
      <c r="AO85" s="144">
        <f t="shared" si="3"/>
        <v>72363</v>
      </c>
      <c r="AP85" s="409"/>
      <c r="AQ85" s="386"/>
      <c r="AR85" s="183">
        <f>(AO85/(IMF!G50*(J85/366)))*100</f>
        <v>5.1759981707531571E-4</v>
      </c>
    </row>
    <row r="86" spans="1:44" ht="40.049999999999997" customHeight="1">
      <c r="A86" s="382"/>
      <c r="B86" s="382"/>
      <c r="C86" s="382"/>
      <c r="D86" s="382"/>
      <c r="E86" s="382"/>
      <c r="F86" s="382"/>
      <c r="G86" s="93" t="s">
        <v>236</v>
      </c>
      <c r="H86" s="251" t="s">
        <v>360</v>
      </c>
      <c r="I86" s="102" t="s">
        <v>524</v>
      </c>
      <c r="J86" s="155">
        <v>140</v>
      </c>
      <c r="K86" s="382"/>
      <c r="L86" s="382"/>
      <c r="M86" s="358"/>
      <c r="N86" s="93" t="s">
        <v>236</v>
      </c>
      <c r="O86" s="344"/>
      <c r="P86" s="344"/>
      <c r="Q86" s="297">
        <f>ID_24!B38</f>
        <v>617442</v>
      </c>
      <c r="R86" s="316"/>
      <c r="S86" s="317"/>
      <c r="T86" s="318"/>
      <c r="U86" s="325"/>
      <c r="V86" s="326"/>
      <c r="W86" s="327"/>
      <c r="X86" s="334"/>
      <c r="Y86" s="335"/>
      <c r="Z86" s="336"/>
      <c r="AA86" s="375"/>
      <c r="AB86" s="377"/>
      <c r="AC86" s="89">
        <f>ID_24!C38</f>
        <v>61744</v>
      </c>
      <c r="AD86" s="316"/>
      <c r="AE86" s="317"/>
      <c r="AF86" s="318"/>
      <c r="AG86" s="325"/>
      <c r="AH86" s="326"/>
      <c r="AI86" s="327"/>
      <c r="AJ86" s="334"/>
      <c r="AK86" s="335"/>
      <c r="AL86" s="336"/>
      <c r="AM86" s="92"/>
      <c r="AN86" s="92"/>
      <c r="AO86" s="144">
        <f t="shared" si="3"/>
        <v>617442</v>
      </c>
      <c r="AP86" s="409"/>
      <c r="AQ86" s="386"/>
      <c r="AR86" s="183">
        <f>(AO86/(IMF!G51*(J86/366)))*100</f>
        <v>6.7919288058571068E-3</v>
      </c>
    </row>
    <row r="87" spans="1:44" ht="40.049999999999997" customHeight="1">
      <c r="A87" s="382"/>
      <c r="B87" s="382"/>
      <c r="C87" s="382"/>
      <c r="D87" s="382"/>
      <c r="E87" s="382"/>
      <c r="F87" s="382"/>
      <c r="G87" s="93" t="s">
        <v>235</v>
      </c>
      <c r="H87" s="251" t="s">
        <v>363</v>
      </c>
      <c r="I87" s="102" t="s">
        <v>524</v>
      </c>
      <c r="J87" s="155">
        <v>133</v>
      </c>
      <c r="K87" s="382"/>
      <c r="L87" s="382"/>
      <c r="M87" s="358"/>
      <c r="N87" s="93" t="s">
        <v>235</v>
      </c>
      <c r="O87" s="344"/>
      <c r="P87" s="344"/>
      <c r="Q87" s="297">
        <f>ID_24!B39</f>
        <v>393189</v>
      </c>
      <c r="R87" s="316"/>
      <c r="S87" s="317"/>
      <c r="T87" s="318"/>
      <c r="U87" s="325"/>
      <c r="V87" s="326"/>
      <c r="W87" s="327"/>
      <c r="X87" s="334"/>
      <c r="Y87" s="335"/>
      <c r="Z87" s="336"/>
      <c r="AA87" s="375"/>
      <c r="AB87" s="377"/>
      <c r="AC87" s="89">
        <f>ID_24!C39</f>
        <v>5698</v>
      </c>
      <c r="AD87" s="316"/>
      <c r="AE87" s="317"/>
      <c r="AF87" s="318"/>
      <c r="AG87" s="325"/>
      <c r="AH87" s="326"/>
      <c r="AI87" s="327"/>
      <c r="AJ87" s="334"/>
      <c r="AK87" s="335"/>
      <c r="AL87" s="336"/>
      <c r="AM87" s="92"/>
      <c r="AN87" s="92"/>
      <c r="AO87" s="144">
        <f t="shared" si="3"/>
        <v>393189</v>
      </c>
      <c r="AP87" s="409"/>
      <c r="AQ87" s="386"/>
      <c r="AR87" s="183">
        <f>(AO87/(IMF!G53*(J87/366)))*100</f>
        <v>3.4668658348851944E-3</v>
      </c>
    </row>
    <row r="88" spans="1:44" ht="40.049999999999997" customHeight="1">
      <c r="A88" s="382"/>
      <c r="B88" s="382"/>
      <c r="C88" s="382"/>
      <c r="D88" s="382"/>
      <c r="E88" s="382"/>
      <c r="F88" s="382"/>
      <c r="G88" s="93" t="s">
        <v>234</v>
      </c>
      <c r="H88" s="251" t="s">
        <v>361</v>
      </c>
      <c r="I88" s="102" t="s">
        <v>524</v>
      </c>
      <c r="J88" s="155">
        <v>154</v>
      </c>
      <c r="K88" s="382"/>
      <c r="L88" s="382"/>
      <c r="M88" s="358"/>
      <c r="N88" s="93" t="s">
        <v>234</v>
      </c>
      <c r="O88" s="344"/>
      <c r="P88" s="344"/>
      <c r="Q88" s="297">
        <f>ID_24!B40</f>
        <v>14222523</v>
      </c>
      <c r="R88" s="316"/>
      <c r="S88" s="317"/>
      <c r="T88" s="318"/>
      <c r="U88" s="325"/>
      <c r="V88" s="326"/>
      <c r="W88" s="327"/>
      <c r="X88" s="334"/>
      <c r="Y88" s="335"/>
      <c r="Z88" s="336"/>
      <c r="AA88" s="375"/>
      <c r="AB88" s="377"/>
      <c r="AC88" s="89">
        <f>ID_24!C40</f>
        <v>16180</v>
      </c>
      <c r="AD88" s="316"/>
      <c r="AE88" s="317"/>
      <c r="AF88" s="318"/>
      <c r="AG88" s="325"/>
      <c r="AH88" s="326"/>
      <c r="AI88" s="327"/>
      <c r="AJ88" s="334"/>
      <c r="AK88" s="335"/>
      <c r="AL88" s="336"/>
      <c r="AM88" s="92"/>
      <c r="AN88" s="92"/>
      <c r="AO88" s="144">
        <f t="shared" si="3"/>
        <v>14222523</v>
      </c>
      <c r="AP88" s="409"/>
      <c r="AQ88" s="386"/>
      <c r="AR88" s="183">
        <f>(AO88/(IMF!G54*(J88/366)))*100</f>
        <v>3.1581348662679917E-3</v>
      </c>
    </row>
    <row r="89" spans="1:44" ht="40.049999999999997" customHeight="1">
      <c r="A89" s="382"/>
      <c r="B89" s="382"/>
      <c r="C89" s="382"/>
      <c r="D89" s="382"/>
      <c r="E89" s="382"/>
      <c r="F89" s="382"/>
      <c r="G89" s="93" t="s">
        <v>317</v>
      </c>
      <c r="H89" s="251" t="s">
        <v>360</v>
      </c>
      <c r="I89" s="102" t="s">
        <v>524</v>
      </c>
      <c r="J89" s="155">
        <v>140</v>
      </c>
      <c r="K89" s="382"/>
      <c r="L89" s="382"/>
      <c r="M89" s="358"/>
      <c r="N89" s="93" t="s">
        <v>317</v>
      </c>
      <c r="O89" s="344"/>
      <c r="P89" s="344"/>
      <c r="Q89" s="297">
        <f>ID_24!B41</f>
        <v>2371749</v>
      </c>
      <c r="R89" s="316"/>
      <c r="S89" s="317"/>
      <c r="T89" s="318"/>
      <c r="U89" s="325"/>
      <c r="V89" s="326"/>
      <c r="W89" s="327"/>
      <c r="X89" s="334"/>
      <c r="Y89" s="335"/>
      <c r="Z89" s="336"/>
      <c r="AA89" s="375"/>
      <c r="AB89" s="377"/>
      <c r="AC89" s="89">
        <f>ID_24!C41</f>
        <v>43921</v>
      </c>
      <c r="AD89" s="316"/>
      <c r="AE89" s="317"/>
      <c r="AF89" s="318"/>
      <c r="AG89" s="325"/>
      <c r="AH89" s="326"/>
      <c r="AI89" s="327"/>
      <c r="AJ89" s="334"/>
      <c r="AK89" s="335"/>
      <c r="AL89" s="336"/>
      <c r="AM89" s="92"/>
      <c r="AN89" s="92"/>
      <c r="AO89" s="144">
        <f t="shared" si="3"/>
        <v>2371749</v>
      </c>
      <c r="AP89" s="409"/>
      <c r="AQ89" s="386"/>
      <c r="AR89" s="183">
        <f>(AO89/(IMF!G57*(J89/366)))*100</f>
        <v>2.7467128238555103E-2</v>
      </c>
    </row>
    <row r="90" spans="1:44" ht="40.049999999999997" customHeight="1">
      <c r="A90" s="382"/>
      <c r="B90" s="382"/>
      <c r="C90" s="382"/>
      <c r="D90" s="382"/>
      <c r="E90" s="382"/>
      <c r="F90" s="382"/>
      <c r="G90" s="93" t="s">
        <v>233</v>
      </c>
      <c r="H90" s="251" t="s">
        <v>360</v>
      </c>
      <c r="I90" s="102" t="s">
        <v>524</v>
      </c>
      <c r="J90" s="155">
        <v>140</v>
      </c>
      <c r="K90" s="382"/>
      <c r="L90" s="382"/>
      <c r="M90" s="358"/>
      <c r="N90" s="93" t="s">
        <v>233</v>
      </c>
      <c r="O90" s="344"/>
      <c r="P90" s="344"/>
      <c r="Q90" s="297">
        <f>ID_24!B42</f>
        <v>107243</v>
      </c>
      <c r="R90" s="316"/>
      <c r="S90" s="317"/>
      <c r="T90" s="318"/>
      <c r="U90" s="325"/>
      <c r="V90" s="326"/>
      <c r="W90" s="327"/>
      <c r="X90" s="334"/>
      <c r="Y90" s="335"/>
      <c r="Z90" s="336"/>
      <c r="AA90" s="375"/>
      <c r="AB90" s="377"/>
      <c r="AC90" s="89">
        <f>ID_24!C42</f>
        <v>21449</v>
      </c>
      <c r="AD90" s="316"/>
      <c r="AE90" s="317"/>
      <c r="AF90" s="318"/>
      <c r="AG90" s="325"/>
      <c r="AH90" s="326"/>
      <c r="AI90" s="327"/>
      <c r="AJ90" s="334"/>
      <c r="AK90" s="335"/>
      <c r="AL90" s="336"/>
      <c r="AM90" s="92"/>
      <c r="AN90" s="92"/>
      <c r="AO90" s="144">
        <f t="shared" si="2"/>
        <v>107243</v>
      </c>
      <c r="AP90" s="409"/>
      <c r="AQ90" s="386"/>
      <c r="AR90" s="183">
        <f>(AO90/(IMF!G58*(J90/366)))*100</f>
        <v>9.7721799531942438E-4</v>
      </c>
    </row>
    <row r="91" spans="1:44" ht="40.049999999999997" customHeight="1">
      <c r="A91" s="382"/>
      <c r="B91" s="382"/>
      <c r="C91" s="382"/>
      <c r="D91" s="382"/>
      <c r="E91" s="382"/>
      <c r="F91" s="382"/>
      <c r="G91" s="93" t="s">
        <v>232</v>
      </c>
      <c r="H91" s="251" t="s">
        <v>393</v>
      </c>
      <c r="I91" s="102" t="s">
        <v>524</v>
      </c>
      <c r="J91" s="155">
        <v>112</v>
      </c>
      <c r="K91" s="382"/>
      <c r="L91" s="382"/>
      <c r="M91" s="358"/>
      <c r="N91" s="93" t="s">
        <v>232</v>
      </c>
      <c r="O91" s="344"/>
      <c r="P91" s="344"/>
      <c r="Q91" s="297">
        <f>ID_24!B43</f>
        <v>454147</v>
      </c>
      <c r="R91" s="316"/>
      <c r="S91" s="317"/>
      <c r="T91" s="318"/>
      <c r="U91" s="325"/>
      <c r="V91" s="326"/>
      <c r="W91" s="327"/>
      <c r="X91" s="334"/>
      <c r="Y91" s="335"/>
      <c r="Z91" s="336"/>
      <c r="AA91" s="375"/>
      <c r="AB91" s="377"/>
      <c r="AC91" s="89">
        <f>ID_24!C43</f>
        <v>30276</v>
      </c>
      <c r="AD91" s="316"/>
      <c r="AE91" s="317"/>
      <c r="AF91" s="318"/>
      <c r="AG91" s="325"/>
      <c r="AH91" s="326"/>
      <c r="AI91" s="327"/>
      <c r="AJ91" s="334"/>
      <c r="AK91" s="335"/>
      <c r="AL91" s="336"/>
      <c r="AM91" s="92"/>
      <c r="AN91" s="92"/>
      <c r="AO91" s="144">
        <f t="shared" si="2"/>
        <v>454147</v>
      </c>
      <c r="AP91" s="409"/>
      <c r="AQ91" s="386"/>
      <c r="AR91" s="183">
        <f>(AO91/(IMF!G59*(J91/366)))*100</f>
        <v>0.18322068121693122</v>
      </c>
    </row>
    <row r="92" spans="1:44" ht="40.049999999999997" customHeight="1">
      <c r="A92" s="382"/>
      <c r="B92" s="382"/>
      <c r="C92" s="382"/>
      <c r="D92" s="382"/>
      <c r="E92" s="382"/>
      <c r="F92" s="382"/>
      <c r="G92" s="93" t="s">
        <v>231</v>
      </c>
      <c r="H92" s="251" t="s">
        <v>388</v>
      </c>
      <c r="I92" s="102" t="s">
        <v>524</v>
      </c>
      <c r="J92" s="155">
        <v>147</v>
      </c>
      <c r="K92" s="382"/>
      <c r="L92" s="382"/>
      <c r="M92" s="358"/>
      <c r="N92" s="93" t="s">
        <v>231</v>
      </c>
      <c r="O92" s="344"/>
      <c r="P92" s="344"/>
      <c r="Q92" s="297">
        <f>ID_24!B44</f>
        <v>6151990</v>
      </c>
      <c r="R92" s="316"/>
      <c r="S92" s="317"/>
      <c r="T92" s="318"/>
      <c r="U92" s="325"/>
      <c r="V92" s="326"/>
      <c r="W92" s="327"/>
      <c r="X92" s="334"/>
      <c r="Y92" s="335"/>
      <c r="Z92" s="336"/>
      <c r="AA92" s="375"/>
      <c r="AB92" s="377"/>
      <c r="AC92" s="89">
        <f>ID_24!C44</f>
        <v>30010</v>
      </c>
      <c r="AD92" s="316"/>
      <c r="AE92" s="317"/>
      <c r="AF92" s="318"/>
      <c r="AG92" s="325"/>
      <c r="AH92" s="326"/>
      <c r="AI92" s="327"/>
      <c r="AJ92" s="334"/>
      <c r="AK92" s="335"/>
      <c r="AL92" s="336"/>
      <c r="AM92" s="92"/>
      <c r="AN92" s="92"/>
      <c r="AO92" s="144">
        <f t="shared" si="2"/>
        <v>6151990</v>
      </c>
      <c r="AP92" s="409"/>
      <c r="AQ92" s="386"/>
      <c r="AR92" s="183">
        <f>(AO92/(IMF!G60*(J92/366)))*100</f>
        <v>2.6074935893360459E-2</v>
      </c>
    </row>
    <row r="93" spans="1:44" ht="40.049999999999997" customHeight="1">
      <c r="A93" s="382"/>
      <c r="B93" s="382"/>
      <c r="C93" s="382"/>
      <c r="D93" s="382"/>
      <c r="E93" s="382"/>
      <c r="F93" s="382"/>
      <c r="G93" s="93" t="s">
        <v>230</v>
      </c>
      <c r="H93" s="251" t="s">
        <v>360</v>
      </c>
      <c r="I93" s="102" t="s">
        <v>524</v>
      </c>
      <c r="J93" s="155">
        <v>140</v>
      </c>
      <c r="K93" s="382"/>
      <c r="L93" s="382"/>
      <c r="M93" s="358"/>
      <c r="N93" s="93" t="s">
        <v>230</v>
      </c>
      <c r="O93" s="344"/>
      <c r="P93" s="344"/>
      <c r="Q93" s="297">
        <f>ID_24!B45</f>
        <v>0</v>
      </c>
      <c r="R93" s="316"/>
      <c r="S93" s="317"/>
      <c r="T93" s="318"/>
      <c r="U93" s="325"/>
      <c r="V93" s="326"/>
      <c r="W93" s="327"/>
      <c r="X93" s="334"/>
      <c r="Y93" s="335"/>
      <c r="Z93" s="336"/>
      <c r="AA93" s="375"/>
      <c r="AB93" s="377"/>
      <c r="AC93" s="89">
        <f>ID_24!C45</f>
        <v>0</v>
      </c>
      <c r="AD93" s="316"/>
      <c r="AE93" s="317"/>
      <c r="AF93" s="318"/>
      <c r="AG93" s="325"/>
      <c r="AH93" s="326"/>
      <c r="AI93" s="327"/>
      <c r="AJ93" s="334"/>
      <c r="AK93" s="335"/>
      <c r="AL93" s="336"/>
      <c r="AM93" s="92"/>
      <c r="AN93" s="92"/>
      <c r="AO93" s="144">
        <f t="shared" si="2"/>
        <v>0</v>
      </c>
      <c r="AP93" s="409"/>
      <c r="AQ93" s="386"/>
      <c r="AR93" s="183">
        <f>(AO93/(IMF!G61*(J93/366)))*100</f>
        <v>0</v>
      </c>
    </row>
    <row r="94" spans="1:44" ht="40.049999999999997" customHeight="1">
      <c r="A94" s="382"/>
      <c r="B94" s="382"/>
      <c r="C94" s="382"/>
      <c r="D94" s="382"/>
      <c r="E94" s="382"/>
      <c r="F94" s="382"/>
      <c r="G94" s="93" t="s">
        <v>229</v>
      </c>
      <c r="H94" s="251" t="s">
        <v>362</v>
      </c>
      <c r="I94" s="102" t="s">
        <v>524</v>
      </c>
      <c r="J94" s="155">
        <v>119</v>
      </c>
      <c r="K94" s="382"/>
      <c r="L94" s="382"/>
      <c r="M94" s="358"/>
      <c r="N94" s="93" t="s">
        <v>229</v>
      </c>
      <c r="O94" s="344"/>
      <c r="P94" s="344"/>
      <c r="Q94" s="297">
        <f>ID_24!B46</f>
        <v>282867</v>
      </c>
      <c r="R94" s="316"/>
      <c r="S94" s="317"/>
      <c r="T94" s="318"/>
      <c r="U94" s="325"/>
      <c r="V94" s="326"/>
      <c r="W94" s="327"/>
      <c r="X94" s="334"/>
      <c r="Y94" s="335"/>
      <c r="Z94" s="336"/>
      <c r="AA94" s="375"/>
      <c r="AB94" s="377"/>
      <c r="AC94" s="89">
        <f>ID_24!C46</f>
        <v>4222</v>
      </c>
      <c r="AD94" s="316"/>
      <c r="AE94" s="317"/>
      <c r="AF94" s="318"/>
      <c r="AG94" s="325"/>
      <c r="AH94" s="326"/>
      <c r="AI94" s="327"/>
      <c r="AJ94" s="334"/>
      <c r="AK94" s="335"/>
      <c r="AL94" s="336"/>
      <c r="AM94" s="92"/>
      <c r="AN94" s="92"/>
      <c r="AO94" s="144">
        <f t="shared" si="2"/>
        <v>282867</v>
      </c>
      <c r="AP94" s="409"/>
      <c r="AQ94" s="386"/>
      <c r="AR94" s="183">
        <f>(AO94/(IMF!G62*(J94/366)))*100</f>
        <v>6.3079633303437382E-3</v>
      </c>
    </row>
    <row r="95" spans="1:44" ht="40.049999999999997" customHeight="1">
      <c r="A95" s="382"/>
      <c r="B95" s="382"/>
      <c r="C95" s="382"/>
      <c r="D95" s="382"/>
      <c r="E95" s="382"/>
      <c r="F95" s="382"/>
      <c r="G95" s="93" t="s">
        <v>228</v>
      </c>
      <c r="H95" s="251" t="s">
        <v>363</v>
      </c>
      <c r="I95" s="102" t="s">
        <v>524</v>
      </c>
      <c r="J95" s="155">
        <v>133</v>
      </c>
      <c r="K95" s="382"/>
      <c r="L95" s="382"/>
      <c r="M95" s="358"/>
      <c r="N95" s="93" t="s">
        <v>228</v>
      </c>
      <c r="O95" s="344"/>
      <c r="P95" s="344"/>
      <c r="Q95" s="297">
        <f>ID_24!B47</f>
        <v>220060</v>
      </c>
      <c r="R95" s="316"/>
      <c r="S95" s="317"/>
      <c r="T95" s="318"/>
      <c r="U95" s="325"/>
      <c r="V95" s="326"/>
      <c r="W95" s="327"/>
      <c r="X95" s="334"/>
      <c r="Y95" s="335"/>
      <c r="Z95" s="336"/>
      <c r="AA95" s="375"/>
      <c r="AB95" s="377"/>
      <c r="AC95" s="89">
        <f>ID_24!C47</f>
        <v>2366</v>
      </c>
      <c r="AD95" s="316"/>
      <c r="AE95" s="317"/>
      <c r="AF95" s="318"/>
      <c r="AG95" s="325"/>
      <c r="AH95" s="326"/>
      <c r="AI95" s="327"/>
      <c r="AJ95" s="334"/>
      <c r="AK95" s="335"/>
      <c r="AL95" s="336"/>
      <c r="AM95" s="92"/>
      <c r="AN95" s="92"/>
      <c r="AO95" s="144">
        <f t="shared" si="2"/>
        <v>220060</v>
      </c>
      <c r="AP95" s="409"/>
      <c r="AQ95" s="386"/>
      <c r="AR95" s="183">
        <f>(AO95/(IMF!G63*(J95/366)))*100</f>
        <v>2.3806999513171414E-3</v>
      </c>
    </row>
    <row r="96" spans="1:44" ht="40.049999999999997" customHeight="1">
      <c r="A96" s="382"/>
      <c r="B96" s="382"/>
      <c r="C96" s="382"/>
      <c r="D96" s="382"/>
      <c r="E96" s="382"/>
      <c r="F96" s="382"/>
      <c r="G96" s="93" t="s">
        <v>227</v>
      </c>
      <c r="H96" s="251" t="s">
        <v>388</v>
      </c>
      <c r="I96" s="102" t="s">
        <v>524</v>
      </c>
      <c r="J96" s="155">
        <v>147</v>
      </c>
      <c r="K96" s="382"/>
      <c r="L96" s="382"/>
      <c r="M96" s="358"/>
      <c r="N96" s="93" t="s">
        <v>227</v>
      </c>
      <c r="O96" s="344"/>
      <c r="P96" s="344"/>
      <c r="Q96" s="297">
        <f>ID_24!B48</f>
        <v>602528301</v>
      </c>
      <c r="R96" s="316"/>
      <c r="S96" s="317"/>
      <c r="T96" s="318"/>
      <c r="U96" s="325"/>
      <c r="V96" s="326"/>
      <c r="W96" s="327"/>
      <c r="X96" s="334"/>
      <c r="Y96" s="335"/>
      <c r="Z96" s="336"/>
      <c r="AA96" s="375"/>
      <c r="AB96" s="377"/>
      <c r="AC96" s="89">
        <f>ID_24!C48</f>
        <v>75269</v>
      </c>
      <c r="AD96" s="316"/>
      <c r="AE96" s="317"/>
      <c r="AF96" s="318"/>
      <c r="AG96" s="325"/>
      <c r="AH96" s="326"/>
      <c r="AI96" s="327"/>
      <c r="AJ96" s="334"/>
      <c r="AK96" s="335"/>
      <c r="AL96" s="336"/>
      <c r="AM96" s="92"/>
      <c r="AN96" s="92"/>
      <c r="AO96" s="144">
        <f t="shared" si="2"/>
        <v>602528301</v>
      </c>
      <c r="AP96" s="409"/>
      <c r="AQ96" s="386"/>
      <c r="AR96" s="183">
        <f>(AO96/(IMF!G64*(J96/366)))*100</f>
        <v>0.18776636346269099</v>
      </c>
    </row>
    <row r="97" spans="1:44" ht="40.049999999999997" customHeight="1">
      <c r="A97" s="382"/>
      <c r="B97" s="382"/>
      <c r="C97" s="382"/>
      <c r="D97" s="382"/>
      <c r="E97" s="382"/>
      <c r="F97" s="382"/>
      <c r="G97" s="93" t="s">
        <v>226</v>
      </c>
      <c r="H97" s="251" t="s">
        <v>393</v>
      </c>
      <c r="I97" s="102" t="s">
        <v>524</v>
      </c>
      <c r="J97" s="155">
        <v>112</v>
      </c>
      <c r="K97" s="382"/>
      <c r="L97" s="382"/>
      <c r="M97" s="358"/>
      <c r="N97" s="93" t="s">
        <v>226</v>
      </c>
      <c r="O97" s="344"/>
      <c r="P97" s="344"/>
      <c r="Q97" s="297">
        <f>ID_24!B49</f>
        <v>266490</v>
      </c>
      <c r="R97" s="316"/>
      <c r="S97" s="317"/>
      <c r="T97" s="318"/>
      <c r="U97" s="325"/>
      <c r="V97" s="326"/>
      <c r="W97" s="327"/>
      <c r="X97" s="334"/>
      <c r="Y97" s="335"/>
      <c r="Z97" s="336"/>
      <c r="AA97" s="375"/>
      <c r="AB97" s="377"/>
      <c r="AC97" s="89">
        <f>ID_24!C49</f>
        <v>5793</v>
      </c>
      <c r="AD97" s="316"/>
      <c r="AE97" s="317"/>
      <c r="AF97" s="318"/>
      <c r="AG97" s="325"/>
      <c r="AH97" s="326"/>
      <c r="AI97" s="327"/>
      <c r="AJ97" s="334"/>
      <c r="AK97" s="335"/>
      <c r="AL97" s="336"/>
      <c r="AM97" s="92"/>
      <c r="AN97" s="92"/>
      <c r="AO97" s="144">
        <f t="shared" si="2"/>
        <v>266490</v>
      </c>
      <c r="AP97" s="409"/>
      <c r="AQ97" s="386"/>
      <c r="AR97" s="183">
        <f>(AO97/(IMF!G65*(J97/366)))*100</f>
        <v>1.5476297316509686E-2</v>
      </c>
    </row>
    <row r="98" spans="1:44" ht="40.049999999999997" customHeight="1">
      <c r="A98" s="382"/>
      <c r="B98" s="382"/>
      <c r="C98" s="382"/>
      <c r="D98" s="382"/>
      <c r="E98" s="382"/>
      <c r="F98" s="382"/>
      <c r="G98" s="93" t="s">
        <v>225</v>
      </c>
      <c r="H98" s="251" t="s">
        <v>360</v>
      </c>
      <c r="I98" s="102" t="s">
        <v>524</v>
      </c>
      <c r="J98" s="155">
        <v>140</v>
      </c>
      <c r="K98" s="382"/>
      <c r="L98" s="382"/>
      <c r="M98" s="358"/>
      <c r="N98" s="93" t="s">
        <v>225</v>
      </c>
      <c r="O98" s="344"/>
      <c r="P98" s="344"/>
      <c r="Q98" s="297">
        <f>ID_24!B50</f>
        <v>18189513</v>
      </c>
      <c r="R98" s="316"/>
      <c r="S98" s="317"/>
      <c r="T98" s="318"/>
      <c r="U98" s="325"/>
      <c r="V98" s="326"/>
      <c r="W98" s="327"/>
      <c r="X98" s="334"/>
      <c r="Y98" s="335"/>
      <c r="Z98" s="336"/>
      <c r="AA98" s="375"/>
      <c r="AB98" s="377"/>
      <c r="AC98" s="89">
        <f>ID_24!C50</f>
        <v>24383</v>
      </c>
      <c r="AD98" s="316"/>
      <c r="AE98" s="317"/>
      <c r="AF98" s="318"/>
      <c r="AG98" s="325"/>
      <c r="AH98" s="326"/>
      <c r="AI98" s="327"/>
      <c r="AJ98" s="334"/>
      <c r="AK98" s="335"/>
      <c r="AL98" s="336"/>
      <c r="AM98" s="92"/>
      <c r="AN98" s="92"/>
      <c r="AO98" s="144">
        <f t="shared" si="2"/>
        <v>18189513</v>
      </c>
      <c r="AP98" s="409"/>
      <c r="AQ98" s="386"/>
      <c r="AR98" s="183">
        <f>(AO98/(IMF!G67*(J98/366)))*100</f>
        <v>2.556040850661916E-2</v>
      </c>
    </row>
    <row r="99" spans="1:44" ht="40.049999999999997" customHeight="1">
      <c r="A99" s="382"/>
      <c r="B99" s="382"/>
      <c r="C99" s="382"/>
      <c r="D99" s="382"/>
      <c r="E99" s="382"/>
      <c r="F99" s="382"/>
      <c r="G99" s="93" t="s">
        <v>224</v>
      </c>
      <c r="H99" s="251" t="s">
        <v>360</v>
      </c>
      <c r="I99" s="102" t="s">
        <v>524</v>
      </c>
      <c r="J99" s="155">
        <v>140</v>
      </c>
      <c r="K99" s="382"/>
      <c r="L99" s="382"/>
      <c r="M99" s="358"/>
      <c r="N99" s="93" t="s">
        <v>224</v>
      </c>
      <c r="O99" s="344"/>
      <c r="P99" s="344"/>
      <c r="Q99" s="297">
        <f>ID_24!B51</f>
        <v>2073934</v>
      </c>
      <c r="R99" s="316"/>
      <c r="S99" s="317"/>
      <c r="T99" s="318"/>
      <c r="U99" s="325"/>
      <c r="V99" s="326"/>
      <c r="W99" s="327"/>
      <c r="X99" s="334"/>
      <c r="Y99" s="335"/>
      <c r="Z99" s="336"/>
      <c r="AA99" s="375"/>
      <c r="AB99" s="377"/>
      <c r="AC99" s="89">
        <f>ID_24!C51</f>
        <v>50584</v>
      </c>
      <c r="AD99" s="316"/>
      <c r="AE99" s="317"/>
      <c r="AF99" s="318"/>
      <c r="AG99" s="325"/>
      <c r="AH99" s="326"/>
      <c r="AI99" s="327"/>
      <c r="AJ99" s="334"/>
      <c r="AK99" s="335"/>
      <c r="AL99" s="336"/>
      <c r="AM99" s="92"/>
      <c r="AN99" s="92"/>
      <c r="AO99" s="144">
        <f t="shared" si="2"/>
        <v>2073934</v>
      </c>
      <c r="AP99" s="409"/>
      <c r="AQ99" s="386"/>
      <c r="AR99" s="183">
        <f>(AO99/(IMF!G68*(J99/366)))*100</f>
        <v>5.2456037428129147E-2</v>
      </c>
    </row>
    <row r="100" spans="1:44" ht="40.049999999999997" customHeight="1">
      <c r="A100" s="382"/>
      <c r="B100" s="382"/>
      <c r="C100" s="382"/>
      <c r="D100" s="382"/>
      <c r="E100" s="382"/>
      <c r="F100" s="382"/>
      <c r="G100" s="93" t="s">
        <v>223</v>
      </c>
      <c r="H100" s="251" t="s">
        <v>363</v>
      </c>
      <c r="I100" s="102" t="s">
        <v>524</v>
      </c>
      <c r="J100" s="155">
        <v>133</v>
      </c>
      <c r="K100" s="382"/>
      <c r="L100" s="382"/>
      <c r="M100" s="358"/>
      <c r="N100" s="93" t="s">
        <v>223</v>
      </c>
      <c r="O100" s="344"/>
      <c r="P100" s="344"/>
      <c r="Q100" s="297">
        <f>ID_24!B52</f>
        <v>482046</v>
      </c>
      <c r="R100" s="316"/>
      <c r="S100" s="317"/>
      <c r="T100" s="318"/>
      <c r="U100" s="325"/>
      <c r="V100" s="326"/>
      <c r="W100" s="327"/>
      <c r="X100" s="334"/>
      <c r="Y100" s="335"/>
      <c r="Z100" s="336"/>
      <c r="AA100" s="375"/>
      <c r="AB100" s="377"/>
      <c r="AC100" s="89">
        <f>ID_24!C52</f>
        <v>22955</v>
      </c>
      <c r="AD100" s="316"/>
      <c r="AE100" s="317"/>
      <c r="AF100" s="318"/>
      <c r="AG100" s="325"/>
      <c r="AH100" s="326"/>
      <c r="AI100" s="327"/>
      <c r="AJ100" s="334"/>
      <c r="AK100" s="335"/>
      <c r="AL100" s="336"/>
      <c r="AM100" s="92"/>
      <c r="AN100" s="92"/>
      <c r="AO100" s="144">
        <f t="shared" si="2"/>
        <v>482046</v>
      </c>
      <c r="AP100" s="409"/>
      <c r="AQ100" s="386"/>
      <c r="AR100" s="183">
        <f>(AO100/(IMF!G71*(J100/366)))*100</f>
        <v>7.8061176420617258E-4</v>
      </c>
    </row>
    <row r="101" spans="1:44" ht="40.049999999999997" customHeight="1">
      <c r="A101" s="382"/>
      <c r="B101" s="382"/>
      <c r="C101" s="382"/>
      <c r="D101" s="382"/>
      <c r="E101" s="382"/>
      <c r="F101" s="382"/>
      <c r="G101" s="93" t="s">
        <v>222</v>
      </c>
      <c r="H101" s="251" t="s">
        <v>388</v>
      </c>
      <c r="I101" s="102" t="s">
        <v>524</v>
      </c>
      <c r="J101" s="155">
        <v>147</v>
      </c>
      <c r="K101" s="382"/>
      <c r="L101" s="382"/>
      <c r="M101" s="358"/>
      <c r="N101" s="93" t="s">
        <v>222</v>
      </c>
      <c r="O101" s="344"/>
      <c r="P101" s="344"/>
      <c r="Q101" s="297">
        <f>ID_24!B53</f>
        <v>172506</v>
      </c>
      <c r="R101" s="316"/>
      <c r="S101" s="317"/>
      <c r="T101" s="318"/>
      <c r="U101" s="325"/>
      <c r="V101" s="326"/>
      <c r="W101" s="327"/>
      <c r="X101" s="334"/>
      <c r="Y101" s="335"/>
      <c r="Z101" s="336"/>
      <c r="AA101" s="375"/>
      <c r="AB101" s="377"/>
      <c r="AC101" s="89">
        <f>ID_24!C53</f>
        <v>9079</v>
      </c>
      <c r="AD101" s="316"/>
      <c r="AE101" s="317"/>
      <c r="AF101" s="318"/>
      <c r="AG101" s="325"/>
      <c r="AH101" s="326"/>
      <c r="AI101" s="327"/>
      <c r="AJ101" s="334"/>
      <c r="AK101" s="335"/>
      <c r="AL101" s="336"/>
      <c r="AM101" s="92"/>
      <c r="AN101" s="92"/>
      <c r="AO101" s="144">
        <f t="shared" si="2"/>
        <v>172506</v>
      </c>
      <c r="AP101" s="409"/>
      <c r="AQ101" s="386"/>
      <c r="AR101" s="183">
        <f>(AO101/(IMF!G72*(J101/366)))*100</f>
        <v>2.3444581588093752E-3</v>
      </c>
    </row>
    <row r="102" spans="1:44" ht="40.049999999999997" customHeight="1">
      <c r="A102" s="382"/>
      <c r="B102" s="382"/>
      <c r="C102" s="382"/>
      <c r="D102" s="382"/>
      <c r="E102" s="382"/>
      <c r="F102" s="382"/>
      <c r="G102" s="93" t="s">
        <v>221</v>
      </c>
      <c r="H102" s="251" t="s">
        <v>388</v>
      </c>
      <c r="I102" s="102" t="s">
        <v>524</v>
      </c>
      <c r="J102" s="155">
        <v>147</v>
      </c>
      <c r="K102" s="382"/>
      <c r="L102" s="382"/>
      <c r="M102" s="358"/>
      <c r="N102" s="93" t="s">
        <v>221</v>
      </c>
      <c r="O102" s="344"/>
      <c r="P102" s="344"/>
      <c r="Q102" s="297">
        <f>ID_24!B54</f>
        <v>8062957</v>
      </c>
      <c r="R102" s="316"/>
      <c r="S102" s="317"/>
      <c r="T102" s="318"/>
      <c r="U102" s="325"/>
      <c r="V102" s="326"/>
      <c r="W102" s="327"/>
      <c r="X102" s="334"/>
      <c r="Y102" s="335"/>
      <c r="Z102" s="336"/>
      <c r="AA102" s="375"/>
      <c r="AB102" s="377"/>
      <c r="AC102" s="89">
        <f>ID_24!C54</f>
        <v>161259</v>
      </c>
      <c r="AD102" s="316"/>
      <c r="AE102" s="317"/>
      <c r="AF102" s="318"/>
      <c r="AG102" s="325"/>
      <c r="AH102" s="326"/>
      <c r="AI102" s="327"/>
      <c r="AJ102" s="334"/>
      <c r="AK102" s="335"/>
      <c r="AL102" s="336"/>
      <c r="AM102" s="92"/>
      <c r="AN102" s="92"/>
      <c r="AO102" s="144">
        <f t="shared" si="2"/>
        <v>8062957</v>
      </c>
      <c r="AP102" s="409"/>
      <c r="AQ102" s="386"/>
      <c r="AR102" s="183">
        <f>(AO102/(IMF!G73*(J102/366)))*100</f>
        <v>1.5568744370523423E-2</v>
      </c>
    </row>
    <row r="103" spans="1:44" ht="40.049999999999997" customHeight="1">
      <c r="A103" s="382"/>
      <c r="B103" s="382"/>
      <c r="C103" s="382"/>
      <c r="D103" s="382"/>
      <c r="E103" s="382"/>
      <c r="F103" s="382"/>
      <c r="G103" s="93" t="s">
        <v>220</v>
      </c>
      <c r="H103" s="251" t="s">
        <v>363</v>
      </c>
      <c r="I103" s="102" t="s">
        <v>524</v>
      </c>
      <c r="J103" s="155">
        <v>133</v>
      </c>
      <c r="K103" s="382"/>
      <c r="L103" s="382"/>
      <c r="M103" s="358"/>
      <c r="N103" s="93" t="s">
        <v>220</v>
      </c>
      <c r="O103" s="344"/>
      <c r="P103" s="344"/>
      <c r="Q103" s="297">
        <f>ID_24!B55</f>
        <v>44136</v>
      </c>
      <c r="R103" s="316"/>
      <c r="S103" s="317"/>
      <c r="T103" s="318"/>
      <c r="U103" s="325"/>
      <c r="V103" s="326"/>
      <c r="W103" s="327"/>
      <c r="X103" s="334"/>
      <c r="Y103" s="335"/>
      <c r="Z103" s="336"/>
      <c r="AA103" s="375"/>
      <c r="AB103" s="377"/>
      <c r="AC103" s="89">
        <f>ID_24!C55</f>
        <v>14712</v>
      </c>
      <c r="AD103" s="316"/>
      <c r="AE103" s="317"/>
      <c r="AF103" s="318"/>
      <c r="AG103" s="325"/>
      <c r="AH103" s="326"/>
      <c r="AI103" s="327"/>
      <c r="AJ103" s="334"/>
      <c r="AK103" s="335"/>
      <c r="AL103" s="336"/>
      <c r="AM103" s="92"/>
      <c r="AN103" s="92"/>
      <c r="AO103" s="144">
        <f t="shared" si="2"/>
        <v>44136</v>
      </c>
      <c r="AP103" s="409"/>
      <c r="AQ103" s="386"/>
      <c r="AR103" s="183">
        <f>(AO103/(IMF!G75*(J103/366)))*100</f>
        <v>1.1412446549778251E-4</v>
      </c>
    </row>
    <row r="104" spans="1:44" ht="40.049999999999997" customHeight="1">
      <c r="A104" s="382"/>
      <c r="B104" s="382"/>
      <c r="C104" s="382"/>
      <c r="D104" s="382"/>
      <c r="E104" s="382"/>
      <c r="F104" s="382"/>
      <c r="G104" s="93" t="s">
        <v>219</v>
      </c>
      <c r="H104" s="251" t="s">
        <v>363</v>
      </c>
      <c r="I104" s="102" t="s">
        <v>524</v>
      </c>
      <c r="J104" s="155">
        <v>133</v>
      </c>
      <c r="K104" s="382"/>
      <c r="L104" s="382"/>
      <c r="M104" s="358"/>
      <c r="N104" s="93" t="s">
        <v>219</v>
      </c>
      <c r="O104" s="344"/>
      <c r="P104" s="344"/>
      <c r="Q104" s="297">
        <f>ID_24!B56</f>
        <v>3527856</v>
      </c>
      <c r="R104" s="316"/>
      <c r="S104" s="317"/>
      <c r="T104" s="318"/>
      <c r="U104" s="325"/>
      <c r="V104" s="326"/>
      <c r="W104" s="327"/>
      <c r="X104" s="334"/>
      <c r="Y104" s="335"/>
      <c r="Z104" s="336"/>
      <c r="AA104" s="375"/>
      <c r="AB104" s="377"/>
      <c r="AC104" s="89">
        <f>ID_24!C56</f>
        <v>23363</v>
      </c>
      <c r="AD104" s="316"/>
      <c r="AE104" s="317"/>
      <c r="AF104" s="318"/>
      <c r="AG104" s="325"/>
      <c r="AH104" s="326"/>
      <c r="AI104" s="327"/>
      <c r="AJ104" s="334"/>
      <c r="AK104" s="335"/>
      <c r="AL104" s="336"/>
      <c r="AM104" s="92"/>
      <c r="AN104" s="92"/>
      <c r="AO104" s="144">
        <f t="shared" si="2"/>
        <v>3527856</v>
      </c>
      <c r="AP104" s="409"/>
      <c r="AQ104" s="386"/>
      <c r="AR104" s="183">
        <f>(AO104/(IMF!G78*(J104/366)))*100</f>
        <v>1.5256125258538032E-2</v>
      </c>
    </row>
    <row r="105" spans="1:44" ht="40.049999999999997" customHeight="1" thickBot="1">
      <c r="A105" s="350"/>
      <c r="B105" s="350"/>
      <c r="C105" s="350"/>
      <c r="D105" s="350"/>
      <c r="E105" s="350"/>
      <c r="F105" s="350"/>
      <c r="G105" s="91" t="s">
        <v>218</v>
      </c>
      <c r="H105" s="184" t="s">
        <v>363</v>
      </c>
      <c r="I105" s="63" t="s">
        <v>524</v>
      </c>
      <c r="J105" s="140">
        <v>133</v>
      </c>
      <c r="K105" s="350"/>
      <c r="L105" s="350"/>
      <c r="M105" s="348"/>
      <c r="N105" s="91" t="s">
        <v>218</v>
      </c>
      <c r="O105" s="345"/>
      <c r="P105" s="346"/>
      <c r="Q105" s="298">
        <f>ID_24!B57</f>
        <v>8666496</v>
      </c>
      <c r="R105" s="319"/>
      <c r="S105" s="320"/>
      <c r="T105" s="321"/>
      <c r="U105" s="328"/>
      <c r="V105" s="329"/>
      <c r="W105" s="330"/>
      <c r="X105" s="337"/>
      <c r="Y105" s="338"/>
      <c r="Z105" s="339"/>
      <c r="AA105" s="378"/>
      <c r="AB105" s="380"/>
      <c r="AC105" s="71">
        <f>ID_24!C57</f>
        <v>12933</v>
      </c>
      <c r="AD105" s="319"/>
      <c r="AE105" s="320"/>
      <c r="AF105" s="321"/>
      <c r="AG105" s="328"/>
      <c r="AH105" s="329"/>
      <c r="AI105" s="330"/>
      <c r="AJ105" s="337"/>
      <c r="AK105" s="338"/>
      <c r="AL105" s="339"/>
      <c r="AM105" s="67"/>
      <c r="AN105" s="67"/>
      <c r="AO105" s="145">
        <f t="shared" si="2"/>
        <v>8666496</v>
      </c>
      <c r="AP105" s="387"/>
      <c r="AQ105" s="388"/>
      <c r="AR105" s="185">
        <f>(AO105/(IMF!G79*(J105/366)))*100</f>
        <v>7.4605544486548742E-2</v>
      </c>
    </row>
    <row r="106" spans="1:44" ht="40.049999999999997" customHeight="1">
      <c r="A106" s="411" t="s">
        <v>113</v>
      </c>
      <c r="B106" s="351" t="s">
        <v>523</v>
      </c>
      <c r="C106" s="484">
        <v>25</v>
      </c>
      <c r="D106" s="411" t="s">
        <v>58</v>
      </c>
      <c r="E106" s="411" t="s">
        <v>59</v>
      </c>
      <c r="F106" s="411" t="s">
        <v>103</v>
      </c>
      <c r="G106" s="391" t="s">
        <v>328</v>
      </c>
      <c r="H106" s="392"/>
      <c r="I106" s="351" t="s">
        <v>524</v>
      </c>
      <c r="J106" s="395">
        <v>248</v>
      </c>
      <c r="K106" s="411" t="s">
        <v>112</v>
      </c>
      <c r="L106" s="411" t="s">
        <v>211</v>
      </c>
      <c r="M106" s="410"/>
      <c r="N106" s="411"/>
      <c r="O106" s="81" t="s">
        <v>9</v>
      </c>
      <c r="P106" s="81" t="s">
        <v>10</v>
      </c>
      <c r="Q106" s="81" t="s">
        <v>13</v>
      </c>
      <c r="R106" s="80" t="s">
        <v>9</v>
      </c>
      <c r="S106" s="80" t="s">
        <v>10</v>
      </c>
      <c r="T106" s="80" t="s">
        <v>13</v>
      </c>
      <c r="U106" s="79" t="s">
        <v>9</v>
      </c>
      <c r="V106" s="79" t="s">
        <v>10</v>
      </c>
      <c r="W106" s="79" t="s">
        <v>13</v>
      </c>
      <c r="X106" s="78" t="s">
        <v>9</v>
      </c>
      <c r="Y106" s="78" t="s">
        <v>10</v>
      </c>
      <c r="Z106" s="78" t="s">
        <v>13</v>
      </c>
      <c r="AA106" s="81" t="s">
        <v>9</v>
      </c>
      <c r="AB106" s="81" t="s">
        <v>10</v>
      </c>
      <c r="AC106" s="81" t="s">
        <v>13</v>
      </c>
      <c r="AD106" s="80" t="s">
        <v>9</v>
      </c>
      <c r="AE106" s="80" t="s">
        <v>10</v>
      </c>
      <c r="AF106" s="80" t="s">
        <v>13</v>
      </c>
      <c r="AG106" s="79" t="s">
        <v>9</v>
      </c>
      <c r="AH106" s="79" t="s">
        <v>10</v>
      </c>
      <c r="AI106" s="79" t="s">
        <v>13</v>
      </c>
      <c r="AJ106" s="78" t="s">
        <v>9</v>
      </c>
      <c r="AK106" s="78" t="s">
        <v>10</v>
      </c>
      <c r="AL106" s="78" t="s">
        <v>13</v>
      </c>
      <c r="AM106" s="77"/>
      <c r="AN106" s="77"/>
      <c r="AO106" s="412">
        <f>Q107</f>
        <v>8163602456</v>
      </c>
      <c r="AP106" s="397" t="s">
        <v>328</v>
      </c>
      <c r="AQ106" s="398"/>
      <c r="AR106" s="399">
        <f>(AO106/(IMF!G35*(J106/366)))*100</f>
        <v>0.13237537455274576</v>
      </c>
    </row>
    <row r="107" spans="1:44" ht="52.95" customHeight="1" thickBot="1">
      <c r="A107" s="352"/>
      <c r="B107" s="352"/>
      <c r="C107" s="352"/>
      <c r="D107" s="352"/>
      <c r="E107" s="352"/>
      <c r="F107" s="352"/>
      <c r="G107" s="393"/>
      <c r="H107" s="394"/>
      <c r="I107" s="352"/>
      <c r="J107" s="396"/>
      <c r="K107" s="352"/>
      <c r="L107" s="352"/>
      <c r="M107" s="354"/>
      <c r="N107" s="352"/>
      <c r="O107" s="342"/>
      <c r="P107" s="343"/>
      <c r="Q107" s="76">
        <v>8163602456</v>
      </c>
      <c r="R107" s="340" t="s">
        <v>114</v>
      </c>
      <c r="S107" s="401"/>
      <c r="T107" s="341"/>
      <c r="U107" s="307" t="s">
        <v>114</v>
      </c>
      <c r="V107" s="308"/>
      <c r="W107" s="309"/>
      <c r="X107" s="310" t="s">
        <v>114</v>
      </c>
      <c r="Y107" s="311"/>
      <c r="Z107" s="312"/>
      <c r="AA107" s="342"/>
      <c r="AB107" s="343"/>
      <c r="AC107" s="76">
        <f>ID_25!E3</f>
        <v>80928</v>
      </c>
      <c r="AD107" s="340" t="s">
        <v>114</v>
      </c>
      <c r="AE107" s="401"/>
      <c r="AF107" s="341"/>
      <c r="AG107" s="307" t="s">
        <v>114</v>
      </c>
      <c r="AH107" s="308"/>
      <c r="AI107" s="309"/>
      <c r="AJ107" s="310" t="s">
        <v>114</v>
      </c>
      <c r="AK107" s="311"/>
      <c r="AL107" s="312"/>
      <c r="AM107" s="67"/>
      <c r="AN107" s="67"/>
      <c r="AO107" s="403"/>
      <c r="AP107" s="387"/>
      <c r="AQ107" s="388"/>
      <c r="AR107" s="390"/>
    </row>
    <row r="108" spans="1:44" ht="40.049999999999997" customHeight="1">
      <c r="A108" s="349" t="s">
        <v>113</v>
      </c>
      <c r="B108" s="349" t="s">
        <v>523</v>
      </c>
      <c r="C108" s="349">
        <v>26</v>
      </c>
      <c r="D108" s="349" t="s">
        <v>60</v>
      </c>
      <c r="E108" s="349" t="s">
        <v>61</v>
      </c>
      <c r="F108" s="349" t="s">
        <v>104</v>
      </c>
      <c r="G108" s="450" t="s">
        <v>328</v>
      </c>
      <c r="H108" s="451"/>
      <c r="I108" s="190" t="s">
        <v>524</v>
      </c>
      <c r="J108" s="191">
        <v>302</v>
      </c>
      <c r="K108" s="349">
        <v>2022</v>
      </c>
      <c r="L108" s="349" t="s">
        <v>217</v>
      </c>
      <c r="M108" s="347"/>
      <c r="N108" s="349"/>
      <c r="O108" s="75" t="s">
        <v>9</v>
      </c>
      <c r="P108" s="75" t="s">
        <v>10</v>
      </c>
      <c r="Q108" s="75" t="s">
        <v>13</v>
      </c>
      <c r="R108" s="74" t="s">
        <v>9</v>
      </c>
      <c r="S108" s="74" t="s">
        <v>10</v>
      </c>
      <c r="T108" s="74" t="s">
        <v>13</v>
      </c>
      <c r="U108" s="73" t="s">
        <v>9</v>
      </c>
      <c r="V108" s="73" t="s">
        <v>10</v>
      </c>
      <c r="W108" s="73" t="s">
        <v>13</v>
      </c>
      <c r="X108" s="72" t="s">
        <v>9</v>
      </c>
      <c r="Y108" s="72" t="s">
        <v>10</v>
      </c>
      <c r="Z108" s="72" t="s">
        <v>13</v>
      </c>
      <c r="AA108" s="75" t="s">
        <v>9</v>
      </c>
      <c r="AB108" s="75" t="s">
        <v>10</v>
      </c>
      <c r="AC108" s="75" t="s">
        <v>13</v>
      </c>
      <c r="AD108" s="74" t="s">
        <v>9</v>
      </c>
      <c r="AE108" s="74" t="s">
        <v>10</v>
      </c>
      <c r="AF108" s="74" t="s">
        <v>13</v>
      </c>
      <c r="AG108" s="73" t="s">
        <v>9</v>
      </c>
      <c r="AH108" s="73" t="s">
        <v>10</v>
      </c>
      <c r="AI108" s="73" t="s">
        <v>13</v>
      </c>
      <c r="AJ108" s="72" t="s">
        <v>9</v>
      </c>
      <c r="AK108" s="72" t="s">
        <v>10</v>
      </c>
      <c r="AL108" s="72" t="s">
        <v>13</v>
      </c>
      <c r="AM108" s="64"/>
      <c r="AN108" s="64"/>
      <c r="AO108" s="402">
        <f>Q109</f>
        <v>6693609607.4430265</v>
      </c>
      <c r="AP108" s="397" t="s">
        <v>328</v>
      </c>
      <c r="AQ108" s="398"/>
      <c r="AR108" s="406">
        <f>(AO108/((IMF!G64*(J108/366))+ID_26!H31+(ID_26!F31*(J109/365))))*100</f>
        <v>0.3636277961215601</v>
      </c>
    </row>
    <row r="109" spans="1:44" ht="40.049999999999997" customHeight="1" thickBot="1">
      <c r="A109" s="350"/>
      <c r="B109" s="350"/>
      <c r="C109" s="350"/>
      <c r="D109" s="350"/>
      <c r="E109" s="350"/>
      <c r="F109" s="350"/>
      <c r="G109" s="454"/>
      <c r="H109" s="455"/>
      <c r="I109" s="63" t="s">
        <v>335</v>
      </c>
      <c r="J109" s="140">
        <v>150</v>
      </c>
      <c r="K109" s="350"/>
      <c r="L109" s="350"/>
      <c r="M109" s="348"/>
      <c r="N109" s="350"/>
      <c r="O109" s="345"/>
      <c r="P109" s="346"/>
      <c r="Q109" s="71">
        <f>Age_int!N87</f>
        <v>6693609607.4430265</v>
      </c>
      <c r="R109" s="360" t="s">
        <v>114</v>
      </c>
      <c r="S109" s="361"/>
      <c r="T109" s="362"/>
      <c r="U109" s="363" t="s">
        <v>114</v>
      </c>
      <c r="V109" s="364"/>
      <c r="W109" s="365"/>
      <c r="X109" s="370" t="s">
        <v>114</v>
      </c>
      <c r="Y109" s="381"/>
      <c r="Z109" s="371"/>
      <c r="AA109" s="345"/>
      <c r="AB109" s="346"/>
      <c r="AC109" s="71">
        <f>Age_int!AD87</f>
        <v>120501.36111908668</v>
      </c>
      <c r="AD109" s="360" t="s">
        <v>114</v>
      </c>
      <c r="AE109" s="361"/>
      <c r="AF109" s="362"/>
      <c r="AG109" s="363" t="s">
        <v>114</v>
      </c>
      <c r="AH109" s="364"/>
      <c r="AI109" s="365"/>
      <c r="AJ109" s="370" t="s">
        <v>114</v>
      </c>
      <c r="AK109" s="381"/>
      <c r="AL109" s="371"/>
      <c r="AM109" s="67"/>
      <c r="AN109" s="67"/>
      <c r="AO109" s="403"/>
      <c r="AP109" s="387"/>
      <c r="AQ109" s="388"/>
      <c r="AR109" s="390"/>
    </row>
    <row r="110" spans="1:44" ht="40.049999999999997" customHeight="1">
      <c r="A110" s="351" t="s">
        <v>113</v>
      </c>
      <c r="B110" s="351" t="s">
        <v>523</v>
      </c>
      <c r="C110" s="434">
        <v>27</v>
      </c>
      <c r="D110" s="351" t="s">
        <v>63</v>
      </c>
      <c r="E110" s="351" t="s">
        <v>64</v>
      </c>
      <c r="F110" s="351" t="s">
        <v>105</v>
      </c>
      <c r="G110" s="391" t="s">
        <v>328</v>
      </c>
      <c r="H110" s="392"/>
      <c r="I110" s="178" t="s">
        <v>524</v>
      </c>
      <c r="J110" s="177">
        <v>295</v>
      </c>
      <c r="K110" s="351" t="s">
        <v>111</v>
      </c>
      <c r="L110" s="351" t="s">
        <v>217</v>
      </c>
      <c r="M110" s="353"/>
      <c r="N110" s="351"/>
      <c r="O110" s="86" t="s">
        <v>9</v>
      </c>
      <c r="P110" s="86" t="s">
        <v>10</v>
      </c>
      <c r="Q110" s="86" t="s">
        <v>13</v>
      </c>
      <c r="R110" s="85" t="s">
        <v>9</v>
      </c>
      <c r="S110" s="85" t="s">
        <v>10</v>
      </c>
      <c r="T110" s="85" t="s">
        <v>13</v>
      </c>
      <c r="U110" s="84" t="s">
        <v>9</v>
      </c>
      <c r="V110" s="84" t="s">
        <v>10</v>
      </c>
      <c r="W110" s="84" t="s">
        <v>13</v>
      </c>
      <c r="X110" s="83" t="s">
        <v>9</v>
      </c>
      <c r="Y110" s="83" t="s">
        <v>10</v>
      </c>
      <c r="Z110" s="83" t="s">
        <v>13</v>
      </c>
      <c r="AA110" s="86" t="s">
        <v>9</v>
      </c>
      <c r="AB110" s="86" t="s">
        <v>10</v>
      </c>
      <c r="AC110" s="86" t="s">
        <v>13</v>
      </c>
      <c r="AD110" s="85" t="s">
        <v>9</v>
      </c>
      <c r="AE110" s="85" t="s">
        <v>10</v>
      </c>
      <c r="AF110" s="85" t="s">
        <v>13</v>
      </c>
      <c r="AG110" s="84" t="s">
        <v>9</v>
      </c>
      <c r="AH110" s="84" t="s">
        <v>10</v>
      </c>
      <c r="AI110" s="84" t="s">
        <v>13</v>
      </c>
      <c r="AJ110" s="83" t="s">
        <v>9</v>
      </c>
      <c r="AK110" s="83" t="s">
        <v>10</v>
      </c>
      <c r="AL110" s="83" t="s">
        <v>13</v>
      </c>
      <c r="AM110" s="64"/>
      <c r="AN110" s="64"/>
      <c r="AO110" s="402">
        <f>Q111</f>
        <v>234984046.85749912</v>
      </c>
      <c r="AP110" s="397" t="s">
        <v>328</v>
      </c>
      <c r="AQ110" s="398"/>
      <c r="AR110" s="406">
        <f>(AO110/((IMF!G39*(J110/366))+ID_27!H26+(ID_27!F26*(J111/365))))*100</f>
        <v>3.8234571382438604E-2</v>
      </c>
    </row>
    <row r="111" spans="1:44" ht="40.049999999999997" customHeight="1" thickBot="1">
      <c r="A111" s="352"/>
      <c r="B111" s="352"/>
      <c r="C111" s="352"/>
      <c r="D111" s="352"/>
      <c r="E111" s="352"/>
      <c r="F111" s="352"/>
      <c r="G111" s="393"/>
      <c r="H111" s="394"/>
      <c r="I111" s="66" t="s">
        <v>335</v>
      </c>
      <c r="J111" s="139">
        <v>206</v>
      </c>
      <c r="K111" s="352"/>
      <c r="L111" s="352"/>
      <c r="M111" s="354"/>
      <c r="N111" s="352"/>
      <c r="O111" s="342"/>
      <c r="P111" s="343"/>
      <c r="Q111" s="76">
        <f>Age_int!N92</f>
        <v>234984046.85749912</v>
      </c>
      <c r="R111" s="340" t="s">
        <v>114</v>
      </c>
      <c r="S111" s="401"/>
      <c r="T111" s="341"/>
      <c r="U111" s="307" t="s">
        <v>114</v>
      </c>
      <c r="V111" s="308"/>
      <c r="W111" s="309"/>
      <c r="X111" s="310" t="s">
        <v>114</v>
      </c>
      <c r="Y111" s="311"/>
      <c r="Z111" s="312"/>
      <c r="AA111" s="342"/>
      <c r="AB111" s="343"/>
      <c r="AC111" s="76">
        <f>Age_int!AD92</f>
        <v>41443.394507495439</v>
      </c>
      <c r="AD111" s="340" t="s">
        <v>114</v>
      </c>
      <c r="AE111" s="401"/>
      <c r="AF111" s="341"/>
      <c r="AG111" s="307" t="s">
        <v>114</v>
      </c>
      <c r="AH111" s="308"/>
      <c r="AI111" s="309"/>
      <c r="AJ111" s="310" t="s">
        <v>114</v>
      </c>
      <c r="AK111" s="311"/>
      <c r="AL111" s="312"/>
      <c r="AM111" s="67"/>
      <c r="AN111" s="67"/>
      <c r="AO111" s="403"/>
      <c r="AP111" s="387"/>
      <c r="AQ111" s="388"/>
      <c r="AR111" s="390"/>
    </row>
    <row r="112" spans="1:44" ht="40.049999999999997" customHeight="1">
      <c r="A112" s="382" t="s">
        <v>113</v>
      </c>
      <c r="B112" s="349" t="s">
        <v>523</v>
      </c>
      <c r="C112" s="477">
        <v>29</v>
      </c>
      <c r="D112" s="382" t="s">
        <v>216</v>
      </c>
      <c r="E112" s="382" t="s">
        <v>215</v>
      </c>
      <c r="F112" s="382" t="s">
        <v>214</v>
      </c>
      <c r="G112" s="476" t="s">
        <v>357</v>
      </c>
      <c r="H112" s="451"/>
      <c r="I112" s="190" t="s">
        <v>524</v>
      </c>
      <c r="J112" s="191">
        <v>341</v>
      </c>
      <c r="K112" s="382" t="s">
        <v>111</v>
      </c>
      <c r="L112" s="382" t="s">
        <v>208</v>
      </c>
      <c r="M112" s="358" t="s">
        <v>535</v>
      </c>
      <c r="N112" s="382"/>
      <c r="O112" s="106" t="s">
        <v>9</v>
      </c>
      <c r="P112" s="106" t="s">
        <v>10</v>
      </c>
      <c r="Q112" s="106" t="s">
        <v>13</v>
      </c>
      <c r="R112" s="105" t="s">
        <v>9</v>
      </c>
      <c r="S112" s="105" t="s">
        <v>10</v>
      </c>
      <c r="T112" s="105" t="s">
        <v>13</v>
      </c>
      <c r="U112" s="104" t="s">
        <v>9</v>
      </c>
      <c r="V112" s="104" t="s">
        <v>10</v>
      </c>
      <c r="W112" s="104" t="s">
        <v>13</v>
      </c>
      <c r="X112" s="366" t="s">
        <v>489</v>
      </c>
      <c r="Y112" s="368">
        <f>ID_29!B9</f>
        <v>89346544196.39447</v>
      </c>
      <c r="Z112" s="369"/>
      <c r="AA112" s="106" t="s">
        <v>9</v>
      </c>
      <c r="AB112" s="106" t="s">
        <v>10</v>
      </c>
      <c r="AC112" s="106" t="s">
        <v>13</v>
      </c>
      <c r="AD112" s="105" t="s">
        <v>9</v>
      </c>
      <c r="AE112" s="105" t="s">
        <v>10</v>
      </c>
      <c r="AF112" s="105" t="s">
        <v>13</v>
      </c>
      <c r="AG112" s="104" t="s">
        <v>9</v>
      </c>
      <c r="AH112" s="104" t="s">
        <v>10</v>
      </c>
      <c r="AI112" s="104" t="s">
        <v>13</v>
      </c>
      <c r="AJ112" s="103" t="s">
        <v>9</v>
      </c>
      <c r="AK112" s="103" t="s">
        <v>10</v>
      </c>
      <c r="AL112" s="103" t="s">
        <v>13</v>
      </c>
      <c r="AM112" s="281"/>
      <c r="AN112" s="222"/>
      <c r="AO112" s="242">
        <f>Y112</f>
        <v>89346544196.39447</v>
      </c>
      <c r="AP112" s="413" t="s">
        <v>328</v>
      </c>
      <c r="AQ112" s="384"/>
      <c r="AR112" s="183">
        <f>(AO112/((IMF!G77*(J112/366))+ID_29!D15+(ID_29!B15*(J113/365))))*100</f>
        <v>0.16936047943147856</v>
      </c>
    </row>
    <row r="113" spans="1:66" ht="40.049999999999997" customHeight="1" thickBot="1">
      <c r="A113" s="350"/>
      <c r="B113" s="350"/>
      <c r="C113" s="350"/>
      <c r="D113" s="350"/>
      <c r="E113" s="350"/>
      <c r="F113" s="350"/>
      <c r="G113" s="454"/>
      <c r="H113" s="455"/>
      <c r="I113" s="63" t="s">
        <v>335</v>
      </c>
      <c r="J113" s="140">
        <v>176</v>
      </c>
      <c r="K113" s="350"/>
      <c r="L113" s="350"/>
      <c r="M113" s="348"/>
      <c r="N113" s="350"/>
      <c r="O113" s="345" t="s">
        <v>114</v>
      </c>
      <c r="P113" s="359"/>
      <c r="Q113" s="346"/>
      <c r="R113" s="360" t="s">
        <v>114</v>
      </c>
      <c r="S113" s="361"/>
      <c r="T113" s="362"/>
      <c r="U113" s="363" t="s">
        <v>114</v>
      </c>
      <c r="V113" s="364"/>
      <c r="W113" s="365"/>
      <c r="X113" s="367"/>
      <c r="Y113" s="370">
        <f>ID_29!D9</f>
        <v>380386277271.77844</v>
      </c>
      <c r="Z113" s="371"/>
      <c r="AA113" s="71"/>
      <c r="AB113" s="71"/>
      <c r="AC113" s="71"/>
      <c r="AD113" s="70"/>
      <c r="AE113" s="70"/>
      <c r="AF113" s="70"/>
      <c r="AG113" s="98"/>
      <c r="AH113" s="98"/>
      <c r="AI113" s="98"/>
      <c r="AJ113" s="97"/>
      <c r="AK113" s="97"/>
      <c r="AL113" s="97"/>
      <c r="AM113" s="286"/>
      <c r="AN113" s="225"/>
      <c r="AO113" s="224">
        <f>Y113</f>
        <v>380386277271.77844</v>
      </c>
      <c r="AP113" s="387"/>
      <c r="AQ113" s="388"/>
      <c r="AR113" s="185">
        <f>(AO113/((IMF!G77*(J112/366))+ID_29!D15+(ID_29!B15*(J113/365))))*100</f>
        <v>0.7210396649062949</v>
      </c>
    </row>
    <row r="114" spans="1:66" ht="49.95" customHeight="1">
      <c r="A114" s="411" t="s">
        <v>113</v>
      </c>
      <c r="B114" s="351" t="s">
        <v>523</v>
      </c>
      <c r="C114" s="411">
        <v>30</v>
      </c>
      <c r="D114" s="411" t="s">
        <v>65</v>
      </c>
      <c r="E114" s="411" t="s">
        <v>66</v>
      </c>
      <c r="F114" s="411" t="s">
        <v>106</v>
      </c>
      <c r="G114" s="407" t="s">
        <v>328</v>
      </c>
      <c r="H114" s="408"/>
      <c r="I114" s="255" t="s">
        <v>524</v>
      </c>
      <c r="J114" s="256">
        <v>287</v>
      </c>
      <c r="K114" s="411">
        <v>2023</v>
      </c>
      <c r="L114" s="411" t="s">
        <v>213</v>
      </c>
      <c r="M114" s="410"/>
      <c r="N114" s="411"/>
      <c r="O114" s="81" t="s">
        <v>9</v>
      </c>
      <c r="P114" s="81" t="s">
        <v>10</v>
      </c>
      <c r="Q114" s="81" t="s">
        <v>13</v>
      </c>
      <c r="R114" s="80" t="s">
        <v>9</v>
      </c>
      <c r="S114" s="80" t="s">
        <v>10</v>
      </c>
      <c r="T114" s="80" t="s">
        <v>13</v>
      </c>
      <c r="U114" s="79" t="s">
        <v>9</v>
      </c>
      <c r="V114" s="79" t="s">
        <v>10</v>
      </c>
      <c r="W114" s="79" t="s">
        <v>13</v>
      </c>
      <c r="X114" s="78" t="s">
        <v>9</v>
      </c>
      <c r="Y114" s="78" t="s">
        <v>10</v>
      </c>
      <c r="Z114" s="78" t="s">
        <v>13</v>
      </c>
      <c r="AA114" s="81" t="s">
        <v>9</v>
      </c>
      <c r="AB114" s="81" t="s">
        <v>10</v>
      </c>
      <c r="AC114" s="81" t="s">
        <v>13</v>
      </c>
      <c r="AD114" s="80" t="s">
        <v>9</v>
      </c>
      <c r="AE114" s="80" t="s">
        <v>10</v>
      </c>
      <c r="AF114" s="80" t="s">
        <v>13</v>
      </c>
      <c r="AG114" s="79" t="s">
        <v>9</v>
      </c>
      <c r="AH114" s="79" t="s">
        <v>10</v>
      </c>
      <c r="AI114" s="79" t="s">
        <v>13</v>
      </c>
      <c r="AJ114" s="78" t="s">
        <v>9</v>
      </c>
      <c r="AK114" s="78" t="s">
        <v>10</v>
      </c>
      <c r="AL114" s="78" t="s">
        <v>13</v>
      </c>
      <c r="AM114" s="77"/>
      <c r="AN114" s="77"/>
      <c r="AO114" s="412">
        <f>Q115</f>
        <v>36756806.703954764</v>
      </c>
      <c r="AP114" s="409" t="s">
        <v>328</v>
      </c>
      <c r="AQ114" s="386"/>
      <c r="AR114" s="406">
        <f>(AO114/((IMF!G43*(J114/366))+ID_30!H36+ID_30!J36+(ID_30!F36*(J115/365))))*100</f>
        <v>2.7871820103355045E-2</v>
      </c>
    </row>
    <row r="115" spans="1:66" ht="49.95" customHeight="1" thickBot="1">
      <c r="A115" s="352"/>
      <c r="B115" s="352"/>
      <c r="C115" s="352"/>
      <c r="D115" s="352"/>
      <c r="E115" s="352"/>
      <c r="F115" s="352"/>
      <c r="G115" s="393"/>
      <c r="H115" s="394"/>
      <c r="I115" s="66" t="s">
        <v>526</v>
      </c>
      <c r="J115" s="139">
        <v>62</v>
      </c>
      <c r="K115" s="352"/>
      <c r="L115" s="352"/>
      <c r="M115" s="354"/>
      <c r="N115" s="352"/>
      <c r="O115" s="342"/>
      <c r="P115" s="343"/>
      <c r="Q115" s="76">
        <f>Age_int!N97</f>
        <v>36756806.703954764</v>
      </c>
      <c r="R115" s="340" t="s">
        <v>114</v>
      </c>
      <c r="S115" s="401"/>
      <c r="T115" s="341"/>
      <c r="U115" s="307" t="s">
        <v>114</v>
      </c>
      <c r="V115" s="308"/>
      <c r="W115" s="309"/>
      <c r="X115" s="310" t="s">
        <v>114</v>
      </c>
      <c r="Y115" s="311"/>
      <c r="Z115" s="312"/>
      <c r="AA115" s="342"/>
      <c r="AB115" s="343"/>
      <c r="AC115" s="76">
        <f>ID_30!D36</f>
        <v>25848.441140592651</v>
      </c>
      <c r="AD115" s="340" t="s">
        <v>114</v>
      </c>
      <c r="AE115" s="401"/>
      <c r="AF115" s="341"/>
      <c r="AG115" s="307" t="s">
        <v>114</v>
      </c>
      <c r="AH115" s="308"/>
      <c r="AI115" s="309"/>
      <c r="AJ115" s="310" t="s">
        <v>114</v>
      </c>
      <c r="AK115" s="311"/>
      <c r="AL115" s="312"/>
      <c r="AM115" s="67"/>
      <c r="AN115" s="67"/>
      <c r="AO115" s="403"/>
      <c r="AP115" s="387"/>
      <c r="AQ115" s="388"/>
      <c r="AR115" s="390"/>
    </row>
    <row r="116" spans="1:66" ht="49.95" customHeight="1">
      <c r="A116" s="349" t="s">
        <v>113</v>
      </c>
      <c r="B116" s="349" t="s">
        <v>523</v>
      </c>
      <c r="C116" s="471">
        <v>31</v>
      </c>
      <c r="D116" s="349" t="s">
        <v>516</v>
      </c>
      <c r="E116" s="349" t="s">
        <v>517</v>
      </c>
      <c r="F116" s="349" t="s">
        <v>518</v>
      </c>
      <c r="G116" s="450" t="s">
        <v>328</v>
      </c>
      <c r="H116" s="451"/>
      <c r="I116" s="349" t="s">
        <v>524</v>
      </c>
      <c r="J116" s="420">
        <v>213</v>
      </c>
      <c r="K116" s="349" t="s">
        <v>212</v>
      </c>
      <c r="L116" s="349" t="s">
        <v>211</v>
      </c>
      <c r="M116" s="347"/>
      <c r="N116" s="349"/>
      <c r="O116" s="106" t="s">
        <v>9</v>
      </c>
      <c r="P116" s="106" t="s">
        <v>10</v>
      </c>
      <c r="Q116" s="106" t="s">
        <v>13</v>
      </c>
      <c r="R116" s="105" t="s">
        <v>9</v>
      </c>
      <c r="S116" s="105" t="s">
        <v>10</v>
      </c>
      <c r="T116" s="105" t="s">
        <v>13</v>
      </c>
      <c r="U116" s="104" t="s">
        <v>9</v>
      </c>
      <c r="V116" s="104" t="s">
        <v>10</v>
      </c>
      <c r="W116" s="104" t="s">
        <v>13</v>
      </c>
      <c r="X116" s="103" t="s">
        <v>9</v>
      </c>
      <c r="Y116" s="103" t="s">
        <v>10</v>
      </c>
      <c r="Z116" s="103" t="s">
        <v>13</v>
      </c>
      <c r="AA116" s="106" t="s">
        <v>9</v>
      </c>
      <c r="AB116" s="106" t="s">
        <v>10</v>
      </c>
      <c r="AC116" s="106" t="s">
        <v>13</v>
      </c>
      <c r="AD116" s="105" t="s">
        <v>9</v>
      </c>
      <c r="AE116" s="105" t="s">
        <v>10</v>
      </c>
      <c r="AF116" s="105" t="s">
        <v>13</v>
      </c>
      <c r="AG116" s="104" t="s">
        <v>9</v>
      </c>
      <c r="AH116" s="104" t="s">
        <v>10</v>
      </c>
      <c r="AI116" s="104" t="s">
        <v>13</v>
      </c>
      <c r="AJ116" s="103" t="s">
        <v>9</v>
      </c>
      <c r="AK116" s="103" t="s">
        <v>10</v>
      </c>
      <c r="AL116" s="103" t="s">
        <v>13</v>
      </c>
      <c r="AM116" s="92"/>
      <c r="AN116" s="92"/>
      <c r="AO116" s="402">
        <f>Q117</f>
        <v>3120689</v>
      </c>
      <c r="AP116" s="397" t="s">
        <v>328</v>
      </c>
      <c r="AQ116" s="398"/>
      <c r="AR116" s="406">
        <f>(AO116/(IMF!G47/(J116/366)))*100</f>
        <v>6.7184769174603023E-3</v>
      </c>
    </row>
    <row r="117" spans="1:66" ht="49.95" customHeight="1" thickBot="1">
      <c r="A117" s="350"/>
      <c r="B117" s="350"/>
      <c r="C117" s="350"/>
      <c r="D117" s="350"/>
      <c r="E117" s="350"/>
      <c r="F117" s="350"/>
      <c r="G117" s="454"/>
      <c r="H117" s="455"/>
      <c r="I117" s="350"/>
      <c r="J117" s="421"/>
      <c r="K117" s="350"/>
      <c r="L117" s="350"/>
      <c r="M117" s="348"/>
      <c r="N117" s="350"/>
      <c r="O117" s="267"/>
      <c r="P117" s="268"/>
      <c r="Q117" s="278">
        <f>Age_int!N102</f>
        <v>3120689</v>
      </c>
      <c r="R117" s="261"/>
      <c r="S117" s="274"/>
      <c r="T117" s="262"/>
      <c r="U117" s="263"/>
      <c r="V117" s="272"/>
      <c r="W117" s="264"/>
      <c r="X117" s="265"/>
      <c r="Y117" s="273"/>
      <c r="Z117" s="266"/>
      <c r="AA117" s="267"/>
      <c r="AB117" s="268"/>
      <c r="AC117" s="278">
        <f>Q117/ID_31!E3</f>
        <v>312068.90000000002</v>
      </c>
      <c r="AD117" s="261"/>
      <c r="AE117" s="274"/>
      <c r="AF117" s="262"/>
      <c r="AG117" s="263"/>
      <c r="AH117" s="272"/>
      <c r="AI117" s="264"/>
      <c r="AJ117" s="265"/>
      <c r="AK117" s="273"/>
      <c r="AL117" s="266"/>
      <c r="AM117" s="92"/>
      <c r="AN117" s="92"/>
      <c r="AO117" s="403"/>
      <c r="AP117" s="387"/>
      <c r="AQ117" s="388"/>
      <c r="AR117" s="390"/>
    </row>
    <row r="118" spans="1:66" ht="40.049999999999997" customHeight="1">
      <c r="A118" s="351" t="s">
        <v>113</v>
      </c>
      <c r="B118" s="351" t="s">
        <v>523</v>
      </c>
      <c r="C118" s="351">
        <v>32</v>
      </c>
      <c r="D118" s="351" t="s">
        <v>210</v>
      </c>
      <c r="E118" s="351" t="s">
        <v>209</v>
      </c>
      <c r="F118" s="351" t="s">
        <v>178</v>
      </c>
      <c r="G118" s="456" t="s">
        <v>357</v>
      </c>
      <c r="H118" s="392"/>
      <c r="I118" s="351" t="s">
        <v>524</v>
      </c>
      <c r="J118" s="395">
        <v>340</v>
      </c>
      <c r="K118" s="351" t="s">
        <v>111</v>
      </c>
      <c r="L118" s="351" t="s">
        <v>208</v>
      </c>
      <c r="M118" s="353"/>
      <c r="N118" s="351"/>
      <c r="O118" s="86" t="s">
        <v>9</v>
      </c>
      <c r="P118" s="86" t="s">
        <v>10</v>
      </c>
      <c r="Q118" s="86" t="s">
        <v>13</v>
      </c>
      <c r="R118" s="85" t="s">
        <v>9</v>
      </c>
      <c r="S118" s="85" t="s">
        <v>10</v>
      </c>
      <c r="T118" s="85" t="s">
        <v>13</v>
      </c>
      <c r="U118" s="84" t="s">
        <v>9</v>
      </c>
      <c r="V118" s="84" t="s">
        <v>10</v>
      </c>
      <c r="W118" s="84" t="s">
        <v>13</v>
      </c>
      <c r="X118" s="83" t="s">
        <v>9</v>
      </c>
      <c r="Y118" s="83" t="s">
        <v>10</v>
      </c>
      <c r="Z118" s="83" t="s">
        <v>13</v>
      </c>
      <c r="AA118" s="86" t="s">
        <v>9</v>
      </c>
      <c r="AB118" s="86" t="s">
        <v>10</v>
      </c>
      <c r="AC118" s="86" t="s">
        <v>13</v>
      </c>
      <c r="AD118" s="85" t="s">
        <v>9</v>
      </c>
      <c r="AE118" s="85" t="s">
        <v>10</v>
      </c>
      <c r="AF118" s="85" t="s">
        <v>13</v>
      </c>
      <c r="AG118" s="84" t="s">
        <v>9</v>
      </c>
      <c r="AH118" s="84" t="s">
        <v>10</v>
      </c>
      <c r="AI118" s="84" t="s">
        <v>13</v>
      </c>
      <c r="AJ118" s="83" t="s">
        <v>9</v>
      </c>
      <c r="AK118" s="83" t="s">
        <v>10</v>
      </c>
      <c r="AL118" s="83" t="s">
        <v>13</v>
      </c>
      <c r="AM118" s="64"/>
      <c r="AN118" s="64"/>
      <c r="AO118" s="402">
        <f>Q119+T119</f>
        <v>200197192.32978612</v>
      </c>
      <c r="AP118" s="38" t="s">
        <v>419</v>
      </c>
      <c r="AQ118" s="146">
        <f>(Q119/AO118)*100</f>
        <v>57.04966500087815</v>
      </c>
      <c r="AR118" s="389">
        <f>(AO118/((GDSP_USA!B4*(J118/366))+GDSP_USA!A11))*100</f>
        <v>0.11355722956620648</v>
      </c>
    </row>
    <row r="119" spans="1:66" ht="40.049999999999997" customHeight="1" thickBot="1">
      <c r="A119" s="352"/>
      <c r="B119" s="352"/>
      <c r="C119" s="352"/>
      <c r="D119" s="352"/>
      <c r="E119" s="352"/>
      <c r="F119" s="352"/>
      <c r="G119" s="393"/>
      <c r="H119" s="394"/>
      <c r="I119" s="352"/>
      <c r="J119" s="396"/>
      <c r="K119" s="352"/>
      <c r="L119" s="352"/>
      <c r="M119" s="354"/>
      <c r="N119" s="352"/>
      <c r="O119" s="342"/>
      <c r="P119" s="343"/>
      <c r="Q119" s="76">
        <f>ID_32!B4+ID_32!A11</f>
        <v>114211827.56530669</v>
      </c>
      <c r="R119" s="340"/>
      <c r="S119" s="341"/>
      <c r="T119" s="82">
        <f>ID_32!F4+ID_32!C11</f>
        <v>85985364.764479429</v>
      </c>
      <c r="U119" s="307" t="s">
        <v>114</v>
      </c>
      <c r="V119" s="308"/>
      <c r="W119" s="309"/>
      <c r="X119" s="310" t="s">
        <v>114</v>
      </c>
      <c r="Y119" s="311"/>
      <c r="Z119" s="312"/>
      <c r="AA119" s="342" t="s">
        <v>114</v>
      </c>
      <c r="AB119" s="400"/>
      <c r="AC119" s="343"/>
      <c r="AD119" s="340" t="s">
        <v>114</v>
      </c>
      <c r="AE119" s="401"/>
      <c r="AF119" s="341"/>
      <c r="AG119" s="307" t="s">
        <v>114</v>
      </c>
      <c r="AH119" s="308"/>
      <c r="AI119" s="309"/>
      <c r="AJ119" s="310" t="s">
        <v>114</v>
      </c>
      <c r="AK119" s="311"/>
      <c r="AL119" s="312"/>
      <c r="AM119" s="67"/>
      <c r="AN119" s="67"/>
      <c r="AO119" s="403"/>
      <c r="AP119" s="36" t="s">
        <v>420</v>
      </c>
      <c r="AQ119" s="152">
        <f>(T119/AO118)*100</f>
        <v>42.950334999121857</v>
      </c>
      <c r="AR119" s="485"/>
    </row>
    <row r="120" spans="1:66" ht="40.049999999999997" customHeight="1">
      <c r="A120" s="382" t="s">
        <v>113</v>
      </c>
      <c r="B120" s="349" t="s">
        <v>523</v>
      </c>
      <c r="C120" s="477">
        <v>33</v>
      </c>
      <c r="D120" s="382" t="s">
        <v>68</v>
      </c>
      <c r="E120" s="382" t="s">
        <v>69</v>
      </c>
      <c r="F120" s="382" t="s">
        <v>107</v>
      </c>
      <c r="G120" s="450" t="s">
        <v>328</v>
      </c>
      <c r="H120" s="451"/>
      <c r="I120" s="349" t="s">
        <v>524</v>
      </c>
      <c r="J120" s="420">
        <v>68</v>
      </c>
      <c r="K120" s="382" t="s">
        <v>112</v>
      </c>
      <c r="L120" s="382" t="s">
        <v>77</v>
      </c>
      <c r="M120" s="358"/>
      <c r="N120" s="382"/>
      <c r="O120" s="106" t="s">
        <v>9</v>
      </c>
      <c r="P120" s="106" t="s">
        <v>10</v>
      </c>
      <c r="Q120" s="106" t="s">
        <v>13</v>
      </c>
      <c r="R120" s="105" t="s">
        <v>9</v>
      </c>
      <c r="S120" s="105" t="s">
        <v>10</v>
      </c>
      <c r="T120" s="105" t="s">
        <v>13</v>
      </c>
      <c r="U120" s="104" t="s">
        <v>9</v>
      </c>
      <c r="V120" s="104" t="s">
        <v>10</v>
      </c>
      <c r="W120" s="104" t="s">
        <v>13</v>
      </c>
      <c r="X120" s="103" t="s">
        <v>9</v>
      </c>
      <c r="Y120" s="103" t="s">
        <v>10</v>
      </c>
      <c r="Z120" s="103" t="s">
        <v>13</v>
      </c>
      <c r="AA120" s="106" t="s">
        <v>9</v>
      </c>
      <c r="AB120" s="106" t="s">
        <v>10</v>
      </c>
      <c r="AC120" s="106" t="s">
        <v>13</v>
      </c>
      <c r="AD120" s="105" t="s">
        <v>9</v>
      </c>
      <c r="AE120" s="105" t="s">
        <v>10</v>
      </c>
      <c r="AF120" s="105" t="s">
        <v>13</v>
      </c>
      <c r="AG120" s="104" t="s">
        <v>9</v>
      </c>
      <c r="AH120" s="104" t="s">
        <v>10</v>
      </c>
      <c r="AI120" s="104" t="s">
        <v>13</v>
      </c>
      <c r="AJ120" s="103" t="s">
        <v>9</v>
      </c>
      <c r="AK120" s="103" t="s">
        <v>10</v>
      </c>
      <c r="AL120" s="103" t="s">
        <v>13</v>
      </c>
      <c r="AM120" s="77"/>
      <c r="AN120" s="77"/>
      <c r="AO120" s="412">
        <f>Q121+T121</f>
        <v>600570966.98813057</v>
      </c>
      <c r="AP120" s="35" t="s">
        <v>419</v>
      </c>
      <c r="AQ120" s="138">
        <f>(Q121/AO120)*100</f>
        <v>74.480191574026293</v>
      </c>
      <c r="AR120" s="389">
        <f>(AO120/(IMF!G37*(J120/366)))*100</f>
        <v>0.13109779598750707</v>
      </c>
    </row>
    <row r="121" spans="1:66" ht="40.049999999999997" customHeight="1" thickBot="1">
      <c r="A121" s="350"/>
      <c r="B121" s="350"/>
      <c r="C121" s="350"/>
      <c r="D121" s="350"/>
      <c r="E121" s="350"/>
      <c r="F121" s="350"/>
      <c r="G121" s="454"/>
      <c r="H121" s="455"/>
      <c r="I121" s="350"/>
      <c r="J121" s="421"/>
      <c r="K121" s="350"/>
      <c r="L121" s="350"/>
      <c r="M121" s="348"/>
      <c r="N121" s="350"/>
      <c r="O121" s="345"/>
      <c r="P121" s="346"/>
      <c r="Q121" s="71">
        <f>Age_int!N107</f>
        <v>447306406.75074184</v>
      </c>
      <c r="R121" s="360"/>
      <c r="S121" s="362"/>
      <c r="T121" s="70">
        <f>Age_int!R107</f>
        <v>153264560.23738873</v>
      </c>
      <c r="U121" s="363" t="s">
        <v>114</v>
      </c>
      <c r="V121" s="364"/>
      <c r="W121" s="365"/>
      <c r="X121" s="370" t="s">
        <v>114</v>
      </c>
      <c r="Y121" s="381"/>
      <c r="Z121" s="371"/>
      <c r="AA121" s="345"/>
      <c r="AB121" s="346"/>
      <c r="AC121" s="71">
        <f>Age_int!AD107</f>
        <v>113934.38786315381</v>
      </c>
      <c r="AD121" s="360"/>
      <c r="AE121" s="362"/>
      <c r="AF121" s="70">
        <f>Age_int!AH107</f>
        <v>1382.4057459085466</v>
      </c>
      <c r="AG121" s="363" t="s">
        <v>114</v>
      </c>
      <c r="AH121" s="364"/>
      <c r="AI121" s="365"/>
      <c r="AJ121" s="370" t="s">
        <v>114</v>
      </c>
      <c r="AK121" s="381"/>
      <c r="AL121" s="371"/>
      <c r="AM121" s="67"/>
      <c r="AN121" s="67"/>
      <c r="AO121" s="403"/>
      <c r="AP121" s="36" t="s">
        <v>420</v>
      </c>
      <c r="AQ121" s="152">
        <f>(T121/AO120)*100</f>
        <v>25.519808425973711</v>
      </c>
      <c r="AR121" s="390"/>
    </row>
    <row r="122" spans="1:66" ht="40.049999999999997" customHeight="1">
      <c r="A122" s="351" t="s">
        <v>113</v>
      </c>
      <c r="B122" s="351" t="s">
        <v>523</v>
      </c>
      <c r="C122" s="351">
        <v>34</v>
      </c>
      <c r="D122" s="351" t="s">
        <v>70</v>
      </c>
      <c r="E122" s="351" t="s">
        <v>71</v>
      </c>
      <c r="F122" s="351" t="s">
        <v>108</v>
      </c>
      <c r="G122" s="391" t="s">
        <v>328</v>
      </c>
      <c r="H122" s="392"/>
      <c r="I122" s="351" t="s">
        <v>524</v>
      </c>
      <c r="J122" s="395">
        <v>136</v>
      </c>
      <c r="K122" s="351" t="s">
        <v>112</v>
      </c>
      <c r="L122" s="351" t="s">
        <v>207</v>
      </c>
      <c r="M122" s="353"/>
      <c r="N122" s="351"/>
      <c r="O122" s="86" t="s">
        <v>9</v>
      </c>
      <c r="P122" s="86" t="s">
        <v>10</v>
      </c>
      <c r="Q122" s="86" t="s">
        <v>13</v>
      </c>
      <c r="R122" s="85" t="s">
        <v>9</v>
      </c>
      <c r="S122" s="85" t="s">
        <v>10</v>
      </c>
      <c r="T122" s="85" t="s">
        <v>13</v>
      </c>
      <c r="U122" s="84" t="s">
        <v>9</v>
      </c>
      <c r="V122" s="84" t="s">
        <v>10</v>
      </c>
      <c r="W122" s="84" t="s">
        <v>13</v>
      </c>
      <c r="X122" s="83" t="s">
        <v>9</v>
      </c>
      <c r="Y122" s="83" t="s">
        <v>10</v>
      </c>
      <c r="Z122" s="83" t="s">
        <v>13</v>
      </c>
      <c r="AA122" s="86" t="s">
        <v>9</v>
      </c>
      <c r="AB122" s="86" t="s">
        <v>10</v>
      </c>
      <c r="AC122" s="86" t="s">
        <v>13</v>
      </c>
      <c r="AD122" s="85" t="s">
        <v>9</v>
      </c>
      <c r="AE122" s="85" t="s">
        <v>10</v>
      </c>
      <c r="AF122" s="85" t="s">
        <v>13</v>
      </c>
      <c r="AG122" s="84" t="s">
        <v>9</v>
      </c>
      <c r="AH122" s="84" t="s">
        <v>10</v>
      </c>
      <c r="AI122" s="84" t="s">
        <v>13</v>
      </c>
      <c r="AJ122" s="83" t="s">
        <v>9</v>
      </c>
      <c r="AK122" s="83" t="s">
        <v>10</v>
      </c>
      <c r="AL122" s="83" t="s">
        <v>13</v>
      </c>
      <c r="AM122" s="64"/>
      <c r="AN122" s="64"/>
      <c r="AO122" s="402">
        <f>Q123</f>
        <v>27108524.279419865</v>
      </c>
      <c r="AP122" s="397" t="s">
        <v>328</v>
      </c>
      <c r="AQ122" s="398"/>
      <c r="AR122" s="399">
        <f>(AO122/(GSDP_India!B23*(J122/366)))*100</f>
        <v>9.7012572670847185E-3</v>
      </c>
    </row>
    <row r="123" spans="1:66" ht="40.049999999999997" customHeight="1" thickBot="1">
      <c r="A123" s="352"/>
      <c r="B123" s="352"/>
      <c r="C123" s="352"/>
      <c r="D123" s="352"/>
      <c r="E123" s="352"/>
      <c r="F123" s="352"/>
      <c r="G123" s="393"/>
      <c r="H123" s="394"/>
      <c r="I123" s="352"/>
      <c r="J123" s="396"/>
      <c r="K123" s="352"/>
      <c r="L123" s="352"/>
      <c r="M123" s="354"/>
      <c r="N123" s="352"/>
      <c r="O123" s="342"/>
      <c r="P123" s="343"/>
      <c r="Q123" s="76">
        <f>Age_int!N112</f>
        <v>27108524.279419865</v>
      </c>
      <c r="R123" s="340" t="s">
        <v>114</v>
      </c>
      <c r="S123" s="401"/>
      <c r="T123" s="341"/>
      <c r="U123" s="307" t="s">
        <v>114</v>
      </c>
      <c r="V123" s="308"/>
      <c r="W123" s="309"/>
      <c r="X123" s="310" t="s">
        <v>114</v>
      </c>
      <c r="Y123" s="311"/>
      <c r="Z123" s="312"/>
      <c r="AA123" s="342"/>
      <c r="AB123" s="343"/>
      <c r="AC123" s="76">
        <f>Age_int!AD112</f>
        <v>29855.202950902934</v>
      </c>
      <c r="AD123" s="340" t="s">
        <v>114</v>
      </c>
      <c r="AE123" s="401"/>
      <c r="AF123" s="341"/>
      <c r="AG123" s="307" t="s">
        <v>114</v>
      </c>
      <c r="AH123" s="308"/>
      <c r="AI123" s="309"/>
      <c r="AJ123" s="310" t="s">
        <v>114</v>
      </c>
      <c r="AK123" s="311"/>
      <c r="AL123" s="312"/>
      <c r="AM123" s="67"/>
      <c r="AN123" s="67"/>
      <c r="AO123" s="403"/>
      <c r="AP123" s="387"/>
      <c r="AQ123" s="388"/>
      <c r="AR123" s="390"/>
    </row>
    <row r="124" spans="1:66" ht="40.049999999999997" customHeight="1">
      <c r="A124" s="382" t="s">
        <v>113</v>
      </c>
      <c r="B124" s="349" t="s">
        <v>523</v>
      </c>
      <c r="C124" s="477">
        <v>35</v>
      </c>
      <c r="D124" s="382" t="s">
        <v>73</v>
      </c>
      <c r="E124" s="382" t="s">
        <v>74</v>
      </c>
      <c r="F124" s="382" t="s">
        <v>109</v>
      </c>
      <c r="G124" s="476" t="s">
        <v>334</v>
      </c>
      <c r="H124" s="451"/>
      <c r="I124" s="349" t="s">
        <v>524</v>
      </c>
      <c r="J124" s="420">
        <v>333</v>
      </c>
      <c r="K124" s="382" t="s">
        <v>111</v>
      </c>
      <c r="L124" s="382" t="s">
        <v>207</v>
      </c>
      <c r="M124" s="358"/>
      <c r="N124" s="382"/>
      <c r="O124" s="106" t="s">
        <v>9</v>
      </c>
      <c r="P124" s="106" t="s">
        <v>10</v>
      </c>
      <c r="Q124" s="106" t="s">
        <v>13</v>
      </c>
      <c r="R124" s="105" t="s">
        <v>9</v>
      </c>
      <c r="S124" s="105" t="s">
        <v>10</v>
      </c>
      <c r="T124" s="105" t="s">
        <v>13</v>
      </c>
      <c r="U124" s="104" t="s">
        <v>9</v>
      </c>
      <c r="V124" s="104" t="s">
        <v>10</v>
      </c>
      <c r="W124" s="104" t="s">
        <v>13</v>
      </c>
      <c r="X124" s="103" t="s">
        <v>9</v>
      </c>
      <c r="Y124" s="103" t="s">
        <v>10</v>
      </c>
      <c r="Z124" s="103" t="s">
        <v>13</v>
      </c>
      <c r="AA124" s="106" t="s">
        <v>9</v>
      </c>
      <c r="AB124" s="106" t="s">
        <v>10</v>
      </c>
      <c r="AC124" s="106" t="s">
        <v>13</v>
      </c>
      <c r="AD124" s="105" t="s">
        <v>9</v>
      </c>
      <c r="AE124" s="105" t="s">
        <v>10</v>
      </c>
      <c r="AF124" s="105" t="s">
        <v>13</v>
      </c>
      <c r="AG124" s="104" t="s">
        <v>9</v>
      </c>
      <c r="AH124" s="104" t="s">
        <v>10</v>
      </c>
      <c r="AI124" s="104" t="s">
        <v>13</v>
      </c>
      <c r="AJ124" s="103" t="s">
        <v>9</v>
      </c>
      <c r="AK124" s="103" t="s">
        <v>10</v>
      </c>
      <c r="AL124" s="103" t="s">
        <v>13</v>
      </c>
      <c r="AM124" s="77"/>
      <c r="AN124" s="77"/>
      <c r="AO124" s="412">
        <f>Q125</f>
        <v>6958199369.6768475</v>
      </c>
      <c r="AP124" s="397" t="s">
        <v>328</v>
      </c>
      <c r="AQ124" s="398"/>
      <c r="AR124" s="399">
        <f>(AO124/((IMF!G35*(J124/366))+ID_35!C47+ID_35!A47))*100</f>
        <v>2.4256981351060768E-2</v>
      </c>
    </row>
    <row r="125" spans="1:66" ht="40.049999999999997" customHeight="1" thickBot="1">
      <c r="A125" s="350"/>
      <c r="B125" s="350"/>
      <c r="C125" s="350"/>
      <c r="D125" s="350"/>
      <c r="E125" s="350"/>
      <c r="F125" s="350"/>
      <c r="G125" s="454"/>
      <c r="H125" s="455"/>
      <c r="I125" s="350"/>
      <c r="J125" s="421"/>
      <c r="K125" s="350"/>
      <c r="L125" s="350"/>
      <c r="M125" s="348"/>
      <c r="N125" s="350"/>
      <c r="O125" s="71">
        <f>Age_int!L117</f>
        <v>4542664242.2745934</v>
      </c>
      <c r="P125" s="71">
        <f>Age_int!M117</f>
        <v>2415535127.4022541</v>
      </c>
      <c r="Q125" s="71">
        <f>Age_int!N117</f>
        <v>6958199369.6768475</v>
      </c>
      <c r="R125" s="360" t="s">
        <v>114</v>
      </c>
      <c r="S125" s="361"/>
      <c r="T125" s="362"/>
      <c r="U125" s="363" t="s">
        <v>114</v>
      </c>
      <c r="V125" s="364"/>
      <c r="W125" s="365"/>
      <c r="X125" s="370" t="s">
        <v>114</v>
      </c>
      <c r="Y125" s="381"/>
      <c r="Z125" s="371"/>
      <c r="AA125" s="345" t="s">
        <v>114</v>
      </c>
      <c r="AB125" s="359"/>
      <c r="AC125" s="346"/>
      <c r="AD125" s="360" t="s">
        <v>114</v>
      </c>
      <c r="AE125" s="361"/>
      <c r="AF125" s="362"/>
      <c r="AG125" s="363" t="s">
        <v>114</v>
      </c>
      <c r="AH125" s="364"/>
      <c r="AI125" s="365"/>
      <c r="AJ125" s="370" t="s">
        <v>114</v>
      </c>
      <c r="AK125" s="381"/>
      <c r="AL125" s="371"/>
      <c r="AM125" s="67"/>
      <c r="AN125" s="67"/>
      <c r="AO125" s="403"/>
      <c r="AP125" s="387"/>
      <c r="AQ125" s="388"/>
      <c r="AR125" s="390"/>
    </row>
    <row r="126" spans="1:66" ht="40.049999999999997" customHeight="1">
      <c r="A126" s="351" t="s">
        <v>113</v>
      </c>
      <c r="B126" s="351" t="s">
        <v>523</v>
      </c>
      <c r="C126" s="351">
        <v>36</v>
      </c>
      <c r="D126" s="351" t="s">
        <v>75</v>
      </c>
      <c r="E126" s="351" t="s">
        <v>76</v>
      </c>
      <c r="F126" s="351" t="s">
        <v>110</v>
      </c>
      <c r="G126" s="391" t="s">
        <v>328</v>
      </c>
      <c r="H126" s="392"/>
      <c r="I126" s="178" t="s">
        <v>524</v>
      </c>
      <c r="J126" s="177">
        <v>335</v>
      </c>
      <c r="K126" s="355" t="s">
        <v>111</v>
      </c>
      <c r="L126" s="351" t="s">
        <v>208</v>
      </c>
      <c r="M126" s="353"/>
      <c r="N126" s="351"/>
      <c r="O126" s="86" t="s">
        <v>9</v>
      </c>
      <c r="P126" s="86" t="s">
        <v>10</v>
      </c>
      <c r="Q126" s="86" t="s">
        <v>13</v>
      </c>
      <c r="R126" s="85" t="s">
        <v>9</v>
      </c>
      <c r="S126" s="85" t="s">
        <v>10</v>
      </c>
      <c r="T126" s="85" t="s">
        <v>13</v>
      </c>
      <c r="U126" s="84" t="s">
        <v>9</v>
      </c>
      <c r="V126" s="84" t="s">
        <v>10</v>
      </c>
      <c r="W126" s="84" t="s">
        <v>13</v>
      </c>
      <c r="X126" s="83" t="s">
        <v>9</v>
      </c>
      <c r="Y126" s="83" t="s">
        <v>10</v>
      </c>
      <c r="Z126" s="83" t="s">
        <v>13</v>
      </c>
      <c r="AA126" s="86" t="s">
        <v>9</v>
      </c>
      <c r="AB126" s="86" t="s">
        <v>10</v>
      </c>
      <c r="AC126" s="86" t="s">
        <v>13</v>
      </c>
      <c r="AD126" s="85" t="s">
        <v>9</v>
      </c>
      <c r="AE126" s="85" t="s">
        <v>10</v>
      </c>
      <c r="AF126" s="85" t="s">
        <v>13</v>
      </c>
      <c r="AG126" s="84" t="s">
        <v>9</v>
      </c>
      <c r="AH126" s="84" t="s">
        <v>10</v>
      </c>
      <c r="AI126" s="84" t="s">
        <v>13</v>
      </c>
      <c r="AJ126" s="83" t="s">
        <v>9</v>
      </c>
      <c r="AK126" s="83" t="s">
        <v>10</v>
      </c>
      <c r="AL126" s="83" t="s">
        <v>13</v>
      </c>
      <c r="AM126" s="64"/>
      <c r="AN126" s="64"/>
      <c r="AO126" s="402">
        <f>Q127+T127</f>
        <v>7229422113.5949373</v>
      </c>
      <c r="AP126" s="35" t="s">
        <v>419</v>
      </c>
      <c r="AQ126" s="138">
        <f>(Q127/AO126)*100</f>
        <v>36.472123525051323</v>
      </c>
      <c r="AR126" s="399">
        <f>(AO126/((IMF!G13*(J126/366))+IMF!H13+(IMF!I13*(J127/365))))*100</f>
        <v>0.16070241085779038</v>
      </c>
    </row>
    <row r="127" spans="1:66" ht="40.049999999999997" customHeight="1" thickBot="1">
      <c r="A127" s="352"/>
      <c r="B127" s="352"/>
      <c r="C127" s="352"/>
      <c r="D127" s="352"/>
      <c r="E127" s="352"/>
      <c r="F127" s="352"/>
      <c r="G127" s="393"/>
      <c r="H127" s="394"/>
      <c r="I127" s="66" t="s">
        <v>335</v>
      </c>
      <c r="J127" s="139">
        <v>120</v>
      </c>
      <c r="K127" s="356"/>
      <c r="L127" s="352"/>
      <c r="M127" s="354"/>
      <c r="N127" s="352"/>
      <c r="O127" s="76">
        <f>Age_int!L122</f>
        <v>1925701325.8987341</v>
      </c>
      <c r="P127" s="76">
        <f>Age_int!M122</f>
        <v>711022437.51898742</v>
      </c>
      <c r="Q127" s="76">
        <f>Age_int!N122</f>
        <v>2636723763.4177217</v>
      </c>
      <c r="R127" s="82">
        <f>Age_int!P122</f>
        <v>2462611217.670886</v>
      </c>
      <c r="S127" s="82">
        <f>Age_int!Q122</f>
        <v>2130087132.5063291</v>
      </c>
      <c r="T127" s="82">
        <f>Age_int!R122</f>
        <v>4592698350.1772156</v>
      </c>
      <c r="U127" s="307" t="s">
        <v>114</v>
      </c>
      <c r="V127" s="308"/>
      <c r="W127" s="309"/>
      <c r="X127" s="310" t="s">
        <v>114</v>
      </c>
      <c r="Y127" s="311"/>
      <c r="Z127" s="312"/>
      <c r="AA127" s="342" t="s">
        <v>114</v>
      </c>
      <c r="AB127" s="400"/>
      <c r="AC127" s="343"/>
      <c r="AD127" s="340" t="s">
        <v>114</v>
      </c>
      <c r="AE127" s="401"/>
      <c r="AF127" s="341"/>
      <c r="AG127" s="307" t="s">
        <v>114</v>
      </c>
      <c r="AH127" s="308"/>
      <c r="AI127" s="309"/>
      <c r="AJ127" s="310" t="s">
        <v>114</v>
      </c>
      <c r="AK127" s="311"/>
      <c r="AL127" s="312"/>
      <c r="AM127" s="67"/>
      <c r="AN127" s="67"/>
      <c r="AO127" s="403"/>
      <c r="AP127" s="36" t="s">
        <v>420</v>
      </c>
      <c r="AQ127" s="152">
        <f>(T127/AO126)*100</f>
        <v>63.527876474948677</v>
      </c>
      <c r="AR127" s="390"/>
    </row>
    <row r="128" spans="1:66" s="31" customFormat="1" ht="60" customHeight="1">
      <c r="A128" s="349" t="s">
        <v>113</v>
      </c>
      <c r="B128" s="349" t="s">
        <v>523</v>
      </c>
      <c r="C128" s="349">
        <v>38</v>
      </c>
      <c r="D128" s="349" t="s">
        <v>206</v>
      </c>
      <c r="E128" s="349" t="s">
        <v>205</v>
      </c>
      <c r="F128" s="349" t="s">
        <v>204</v>
      </c>
      <c r="G128" s="404"/>
      <c r="H128" s="405"/>
      <c r="I128" s="275"/>
      <c r="J128" s="284"/>
      <c r="K128" s="349" t="s">
        <v>111</v>
      </c>
      <c r="L128" s="349" t="s">
        <v>77</v>
      </c>
      <c r="M128" s="347"/>
      <c r="N128" s="285"/>
      <c r="O128" s="75" t="s">
        <v>9</v>
      </c>
      <c r="P128" s="75" t="s">
        <v>10</v>
      </c>
      <c r="Q128" s="75" t="s">
        <v>13</v>
      </c>
      <c r="R128" s="74" t="s">
        <v>9</v>
      </c>
      <c r="S128" s="74" t="s">
        <v>10</v>
      </c>
      <c r="T128" s="74" t="s">
        <v>13</v>
      </c>
      <c r="U128" s="73" t="s">
        <v>9</v>
      </c>
      <c r="V128" s="73" t="s">
        <v>10</v>
      </c>
      <c r="W128" s="73" t="s">
        <v>13</v>
      </c>
      <c r="X128" s="72" t="s">
        <v>9</v>
      </c>
      <c r="Y128" s="72" t="s">
        <v>10</v>
      </c>
      <c r="Z128" s="72" t="s">
        <v>13</v>
      </c>
      <c r="AA128" s="75" t="s">
        <v>9</v>
      </c>
      <c r="AB128" s="75" t="s">
        <v>10</v>
      </c>
      <c r="AC128" s="75" t="s">
        <v>13</v>
      </c>
      <c r="AD128" s="74" t="s">
        <v>9</v>
      </c>
      <c r="AE128" s="74" t="s">
        <v>10</v>
      </c>
      <c r="AF128" s="74" t="s">
        <v>13</v>
      </c>
      <c r="AG128" s="73" t="s">
        <v>9</v>
      </c>
      <c r="AH128" s="73" t="s">
        <v>10</v>
      </c>
      <c r="AI128" s="73" t="s">
        <v>13</v>
      </c>
      <c r="AJ128" s="72" t="s">
        <v>9</v>
      </c>
      <c r="AK128" s="72" t="s">
        <v>10</v>
      </c>
      <c r="AL128" s="72" t="s">
        <v>13</v>
      </c>
      <c r="AM128" s="222"/>
      <c r="AN128" s="281"/>
      <c r="AO128" s="283"/>
      <c r="AP128" s="383" t="s">
        <v>328</v>
      </c>
      <c r="AQ128" s="384"/>
      <c r="AR128" s="183"/>
      <c r="AS128" s="4"/>
      <c r="AT128" s="4"/>
      <c r="AU128" s="4"/>
      <c r="AV128" s="4"/>
      <c r="AW128" s="4"/>
      <c r="AX128" s="4"/>
      <c r="AY128" s="3"/>
      <c r="AZ128" s="3"/>
      <c r="BA128" s="3"/>
      <c r="BB128" s="3"/>
      <c r="BC128" s="3"/>
      <c r="BD128" s="3"/>
      <c r="BE128" s="3"/>
      <c r="BF128" s="3"/>
      <c r="BG128" s="3"/>
      <c r="BH128" s="3"/>
      <c r="BI128" s="3"/>
      <c r="BJ128" s="3"/>
      <c r="BK128" s="3"/>
      <c r="BL128" s="3"/>
      <c r="BM128" s="3"/>
      <c r="BN128" s="260"/>
    </row>
    <row r="129" spans="1:66" s="31" customFormat="1" ht="36" customHeight="1">
      <c r="A129" s="382"/>
      <c r="B129" s="382"/>
      <c r="C129" s="382"/>
      <c r="D129" s="382"/>
      <c r="E129" s="382"/>
      <c r="F129" s="382"/>
      <c r="G129" s="102" t="s">
        <v>448</v>
      </c>
      <c r="H129" s="251" t="s">
        <v>451</v>
      </c>
      <c r="I129" s="102" t="s">
        <v>527</v>
      </c>
      <c r="J129" s="155">
        <v>326</v>
      </c>
      <c r="K129" s="382"/>
      <c r="L129" s="382"/>
      <c r="M129" s="358"/>
      <c r="N129" s="102" t="s">
        <v>448</v>
      </c>
      <c r="O129" s="372" t="s">
        <v>114</v>
      </c>
      <c r="P129" s="373"/>
      <c r="Q129" s="374"/>
      <c r="R129" s="313"/>
      <c r="S129" s="315"/>
      <c r="T129" s="88">
        <f>ID_38!B12</f>
        <v>18941806.980952248</v>
      </c>
      <c r="U129" s="322" t="s">
        <v>114</v>
      </c>
      <c r="V129" s="323"/>
      <c r="W129" s="324"/>
      <c r="X129" s="331" t="s">
        <v>114</v>
      </c>
      <c r="Y129" s="332"/>
      <c r="Z129" s="333"/>
      <c r="AA129" s="372" t="s">
        <v>114</v>
      </c>
      <c r="AB129" s="373"/>
      <c r="AC129" s="374"/>
      <c r="AD129" s="313" t="s">
        <v>114</v>
      </c>
      <c r="AE129" s="314"/>
      <c r="AF129" s="315"/>
      <c r="AG129" s="322" t="s">
        <v>114</v>
      </c>
      <c r="AH129" s="323"/>
      <c r="AI129" s="324"/>
      <c r="AJ129" s="331" t="s">
        <v>114</v>
      </c>
      <c r="AK129" s="332"/>
      <c r="AL129" s="333"/>
      <c r="AM129" s="223"/>
      <c r="AN129" s="282"/>
      <c r="AO129" s="144">
        <f>T129</f>
        <v>18941806.980952248</v>
      </c>
      <c r="AP129" s="385"/>
      <c r="AQ129" s="386"/>
      <c r="AR129" s="183">
        <f>(T129/((IMF!G34*(J129/366))+(IMF!H34*(J131/365))))*100</f>
        <v>5.9935513984744011E-2</v>
      </c>
      <c r="AS129" s="4"/>
      <c r="AT129" s="4"/>
      <c r="AU129" s="4"/>
      <c r="AV129" s="4"/>
      <c r="AW129" s="4"/>
      <c r="AX129" s="4"/>
      <c r="AY129" s="3"/>
      <c r="AZ129" s="3"/>
      <c r="BA129" s="3"/>
      <c r="BB129" s="3"/>
      <c r="BC129" s="3"/>
      <c r="BD129" s="3"/>
      <c r="BE129" s="3"/>
      <c r="BF129" s="3"/>
      <c r="BG129" s="3"/>
      <c r="BH129" s="3"/>
      <c r="BI129" s="3"/>
      <c r="BJ129" s="3"/>
      <c r="BK129" s="3"/>
      <c r="BL129" s="3"/>
      <c r="BM129" s="3"/>
      <c r="BN129" s="260"/>
    </row>
    <row r="130" spans="1:66" s="31" customFormat="1" ht="34.950000000000003" customHeight="1">
      <c r="A130" s="382"/>
      <c r="B130" s="382"/>
      <c r="C130" s="382"/>
      <c r="D130" s="382"/>
      <c r="E130" s="382"/>
      <c r="F130" s="382"/>
      <c r="G130" s="102" t="s">
        <v>447</v>
      </c>
      <c r="H130" s="251" t="s">
        <v>359</v>
      </c>
      <c r="I130" s="102" t="s">
        <v>528</v>
      </c>
      <c r="J130" s="155">
        <v>312</v>
      </c>
      <c r="K130" s="382"/>
      <c r="L130" s="382"/>
      <c r="M130" s="358"/>
      <c r="N130" s="102" t="s">
        <v>447</v>
      </c>
      <c r="O130" s="375"/>
      <c r="P130" s="376"/>
      <c r="Q130" s="377"/>
      <c r="R130" s="316"/>
      <c r="S130" s="318"/>
      <c r="T130" s="88">
        <f>ID_38!B13</f>
        <v>233057955.3635709</v>
      </c>
      <c r="U130" s="325"/>
      <c r="V130" s="326"/>
      <c r="W130" s="327"/>
      <c r="X130" s="334"/>
      <c r="Y130" s="335"/>
      <c r="Z130" s="336"/>
      <c r="AA130" s="375"/>
      <c r="AB130" s="376"/>
      <c r="AC130" s="377"/>
      <c r="AD130" s="316"/>
      <c r="AE130" s="317"/>
      <c r="AF130" s="318"/>
      <c r="AG130" s="325"/>
      <c r="AH130" s="326"/>
      <c r="AI130" s="327"/>
      <c r="AJ130" s="334"/>
      <c r="AK130" s="335"/>
      <c r="AL130" s="336"/>
      <c r="AM130" s="223"/>
      <c r="AN130" s="282"/>
      <c r="AO130" s="144">
        <f t="shared" ref="AO130:AO131" si="4">T130</f>
        <v>233057955.3635709</v>
      </c>
      <c r="AP130" s="385"/>
      <c r="AQ130" s="386"/>
      <c r="AR130" s="183">
        <f>(T130/((IMF!G55*(J130/366))+(IMF!H55*(J131/365))))*100</f>
        <v>4.2935183840538994E-2</v>
      </c>
      <c r="AS130" s="4"/>
      <c r="AT130" s="4"/>
      <c r="AU130" s="4"/>
      <c r="AV130" s="4"/>
      <c r="AW130" s="4"/>
      <c r="AX130" s="4"/>
      <c r="AY130" s="3"/>
      <c r="AZ130" s="3"/>
      <c r="BA130" s="3"/>
      <c r="BB130" s="3"/>
      <c r="BC130" s="3"/>
      <c r="BD130" s="3"/>
      <c r="BE130" s="3"/>
      <c r="BF130" s="3"/>
      <c r="BG130" s="3"/>
      <c r="BH130" s="3"/>
      <c r="BI130" s="3"/>
      <c r="BJ130" s="3"/>
      <c r="BK130" s="3"/>
      <c r="BL130" s="3"/>
      <c r="BM130" s="3"/>
      <c r="BN130" s="260"/>
    </row>
    <row r="131" spans="1:66" s="31" customFormat="1" ht="40.950000000000003" customHeight="1" thickBot="1">
      <c r="A131" s="350"/>
      <c r="B131" s="350"/>
      <c r="C131" s="350"/>
      <c r="D131" s="350"/>
      <c r="E131" s="350"/>
      <c r="F131" s="350"/>
      <c r="G131" s="63" t="s">
        <v>279</v>
      </c>
      <c r="H131" s="184" t="s">
        <v>451</v>
      </c>
      <c r="I131" s="63" t="s">
        <v>529</v>
      </c>
      <c r="J131" s="140">
        <v>226</v>
      </c>
      <c r="K131" s="350"/>
      <c r="L131" s="350"/>
      <c r="M131" s="348"/>
      <c r="N131" s="63" t="s">
        <v>279</v>
      </c>
      <c r="O131" s="378"/>
      <c r="P131" s="379"/>
      <c r="Q131" s="380"/>
      <c r="R131" s="319"/>
      <c r="S131" s="321"/>
      <c r="T131" s="70">
        <f>ID_38!B14</f>
        <v>1628424607.033812</v>
      </c>
      <c r="U131" s="328"/>
      <c r="V131" s="329"/>
      <c r="W131" s="330"/>
      <c r="X131" s="337"/>
      <c r="Y131" s="338"/>
      <c r="Z131" s="339"/>
      <c r="AA131" s="378"/>
      <c r="AB131" s="379"/>
      <c r="AC131" s="380"/>
      <c r="AD131" s="319"/>
      <c r="AE131" s="320"/>
      <c r="AF131" s="321"/>
      <c r="AG131" s="328"/>
      <c r="AH131" s="329"/>
      <c r="AI131" s="330"/>
      <c r="AJ131" s="337"/>
      <c r="AK131" s="338"/>
      <c r="AL131" s="339"/>
      <c r="AM131" s="225"/>
      <c r="AN131" s="225"/>
      <c r="AO131" s="145">
        <f t="shared" si="4"/>
        <v>1628424607.033812</v>
      </c>
      <c r="AP131" s="387"/>
      <c r="AQ131" s="388"/>
      <c r="AR131" s="185">
        <f>(T131/((IMF!G69*(J129/366))+(IMF!H69*(J131/365))))*100</f>
        <v>0.18117835229750007</v>
      </c>
      <c r="AS131" s="4"/>
      <c r="AT131" s="4"/>
      <c r="AU131" s="4"/>
      <c r="AV131" s="4"/>
      <c r="AW131" s="4"/>
      <c r="AX131" s="4"/>
      <c r="AY131" s="3"/>
      <c r="AZ131" s="3"/>
      <c r="BA131" s="3"/>
      <c r="BB131" s="3"/>
      <c r="BC131" s="3"/>
      <c r="BD131" s="3"/>
      <c r="BE131" s="3"/>
      <c r="BF131" s="3"/>
      <c r="BG131" s="3"/>
      <c r="BH131" s="3"/>
      <c r="BI131" s="3"/>
      <c r="BJ131" s="3"/>
      <c r="BK131" s="3"/>
      <c r="BL131" s="3"/>
      <c r="BM131" s="3"/>
      <c r="BN131" s="260"/>
    </row>
  </sheetData>
  <mergeCells count="798">
    <mergeCell ref="AR116:AR117"/>
    <mergeCell ref="AP116:AQ117"/>
    <mergeCell ref="AM2:AN2"/>
    <mergeCell ref="A116:A117"/>
    <mergeCell ref="B116:B117"/>
    <mergeCell ref="C116:C117"/>
    <mergeCell ref="D116:D117"/>
    <mergeCell ref="E116:E117"/>
    <mergeCell ref="F116:F117"/>
    <mergeCell ref="K116:K117"/>
    <mergeCell ref="J116:J117"/>
    <mergeCell ref="I116:I117"/>
    <mergeCell ref="L116:L117"/>
    <mergeCell ref="G116:H117"/>
    <mergeCell ref="O44:P44"/>
    <mergeCell ref="K43:K44"/>
    <mergeCell ref="L43:L44"/>
    <mergeCell ref="M43:M44"/>
    <mergeCell ref="N43:N44"/>
    <mergeCell ref="N41:N42"/>
    <mergeCell ref="M51:M105"/>
    <mergeCell ref="O86:P86"/>
    <mergeCell ref="O87:P87"/>
    <mergeCell ref="O88:P88"/>
    <mergeCell ref="AO120:AO121"/>
    <mergeCell ref="AJ121:AL121"/>
    <mergeCell ref="AG123:AI123"/>
    <mergeCell ref="AJ123:AL123"/>
    <mergeCell ref="AR118:AR119"/>
    <mergeCell ref="G2:H2"/>
    <mergeCell ref="G23:H24"/>
    <mergeCell ref="G27:H28"/>
    <mergeCell ref="G29:H30"/>
    <mergeCell ref="G31:H32"/>
    <mergeCell ref="G35:H36"/>
    <mergeCell ref="G39:H40"/>
    <mergeCell ref="G41:H42"/>
    <mergeCell ref="G45:H46"/>
    <mergeCell ref="G33:H34"/>
    <mergeCell ref="G3:H4"/>
    <mergeCell ref="G5:H6"/>
    <mergeCell ref="G21:H22"/>
    <mergeCell ref="G25:H26"/>
    <mergeCell ref="AR23:AR24"/>
    <mergeCell ref="AR25:AR26"/>
    <mergeCell ref="G112:H113"/>
    <mergeCell ref="AO118:AO119"/>
    <mergeCell ref="AO110:AO111"/>
    <mergeCell ref="AA125:AC125"/>
    <mergeCell ref="AD125:AF125"/>
    <mergeCell ref="AG125:AI125"/>
    <mergeCell ref="AO124:AO125"/>
    <mergeCell ref="AA123:AB123"/>
    <mergeCell ref="R123:T123"/>
    <mergeCell ref="U123:W123"/>
    <mergeCell ref="X123:Z123"/>
    <mergeCell ref="AD123:AF123"/>
    <mergeCell ref="AO122:AO123"/>
    <mergeCell ref="AJ119:AL119"/>
    <mergeCell ref="AG107:AI107"/>
    <mergeCell ref="AG109:AI109"/>
    <mergeCell ref="AD109:AF109"/>
    <mergeCell ref="AJ111:AL111"/>
    <mergeCell ref="AO116:AO117"/>
    <mergeCell ref="O115:P115"/>
    <mergeCell ref="R115:T115"/>
    <mergeCell ref="I27:I28"/>
    <mergeCell ref="J27:J28"/>
    <mergeCell ref="O92:P92"/>
    <mergeCell ref="O93:P93"/>
    <mergeCell ref="O94:P94"/>
    <mergeCell ref="O95:P95"/>
    <mergeCell ref="X119:Z119"/>
    <mergeCell ref="O61:P61"/>
    <mergeCell ref="O62:P62"/>
    <mergeCell ref="O89:P89"/>
    <mergeCell ref="O63:P63"/>
    <mergeCell ref="O64:P64"/>
    <mergeCell ref="O48:P48"/>
    <mergeCell ref="R48:T48"/>
    <mergeCell ref="O50:P50"/>
    <mergeCell ref="R50:T50"/>
    <mergeCell ref="AA119:AC119"/>
    <mergeCell ref="X121:Z121"/>
    <mergeCell ref="AA121:AB121"/>
    <mergeCell ref="AD121:AE121"/>
    <mergeCell ref="AG121:AI121"/>
    <mergeCell ref="AD119:AF119"/>
    <mergeCell ref="AG119:AI119"/>
    <mergeCell ref="AG115:AI115"/>
    <mergeCell ref="D128:D131"/>
    <mergeCell ref="D118:D119"/>
    <mergeCell ref="E122:E123"/>
    <mergeCell ref="E118:E119"/>
    <mergeCell ref="F118:F119"/>
    <mergeCell ref="K118:K119"/>
    <mergeCell ref="L118:L119"/>
    <mergeCell ref="M118:M119"/>
    <mergeCell ref="N118:N119"/>
    <mergeCell ref="I120:I121"/>
    <mergeCell ref="J120:J121"/>
    <mergeCell ref="G120:H121"/>
    <mergeCell ref="G118:H119"/>
    <mergeCell ref="I118:I119"/>
    <mergeCell ref="J118:J119"/>
    <mergeCell ref="D122:D123"/>
    <mergeCell ref="R52:T105"/>
    <mergeCell ref="U52:W105"/>
    <mergeCell ref="X52:Z105"/>
    <mergeCell ref="O66:P66"/>
    <mergeCell ref="O67:P67"/>
    <mergeCell ref="O101:P101"/>
    <mergeCell ref="O102:P102"/>
    <mergeCell ref="O103:P103"/>
    <mergeCell ref="O96:P96"/>
    <mergeCell ref="O97:P97"/>
    <mergeCell ref="O99:P99"/>
    <mergeCell ref="O54:P54"/>
    <mergeCell ref="O55:P55"/>
    <mergeCell ref="O65:P65"/>
    <mergeCell ref="O56:P56"/>
    <mergeCell ref="O57:P57"/>
    <mergeCell ref="B112:B113"/>
    <mergeCell ref="A112:A113"/>
    <mergeCell ref="K114:K115"/>
    <mergeCell ref="L114:L115"/>
    <mergeCell ref="O76:P76"/>
    <mergeCell ref="O77:P77"/>
    <mergeCell ref="O78:P78"/>
    <mergeCell ref="O79:P79"/>
    <mergeCell ref="O80:P80"/>
    <mergeCell ref="O81:P81"/>
    <mergeCell ref="N108:N109"/>
    <mergeCell ref="F51:F105"/>
    <mergeCell ref="A114:A115"/>
    <mergeCell ref="C128:C131"/>
    <mergeCell ref="B128:B131"/>
    <mergeCell ref="A128:A131"/>
    <mergeCell ref="L128:L131"/>
    <mergeCell ref="K128:K131"/>
    <mergeCell ref="F128:F131"/>
    <mergeCell ref="E128:E131"/>
    <mergeCell ref="M106:M107"/>
    <mergeCell ref="M116:M117"/>
    <mergeCell ref="F106:F107"/>
    <mergeCell ref="E106:E107"/>
    <mergeCell ref="D106:D107"/>
    <mergeCell ref="C106:C107"/>
    <mergeCell ref="B106:B107"/>
    <mergeCell ref="M108:M109"/>
    <mergeCell ref="M110:M111"/>
    <mergeCell ref="A124:A125"/>
    <mergeCell ref="A122:A123"/>
    <mergeCell ref="A126:A127"/>
    <mergeCell ref="B126:B127"/>
    <mergeCell ref="C126:C127"/>
    <mergeCell ref="D126:D127"/>
    <mergeCell ref="A120:A121"/>
    <mergeCell ref="A118:A119"/>
    <mergeCell ref="AJ38:AL38"/>
    <mergeCell ref="AO37:AO38"/>
    <mergeCell ref="AO39:AO40"/>
    <mergeCell ref="R46:T46"/>
    <mergeCell ref="U46:W46"/>
    <mergeCell ref="X46:Z46"/>
    <mergeCell ref="AA46:AB46"/>
    <mergeCell ref="AD46:AF46"/>
    <mergeCell ref="AG46:AI46"/>
    <mergeCell ref="AJ46:AL46"/>
    <mergeCell ref="AO45:AO46"/>
    <mergeCell ref="AO41:AO42"/>
    <mergeCell ref="AJ42:AL42"/>
    <mergeCell ref="AG40:AI40"/>
    <mergeCell ref="R38:T38"/>
    <mergeCell ref="U38:W38"/>
    <mergeCell ref="X38:Z38"/>
    <mergeCell ref="AA38:AB38"/>
    <mergeCell ref="AD38:AF38"/>
    <mergeCell ref="AG38:AI38"/>
    <mergeCell ref="R44:T44"/>
    <mergeCell ref="U44:W44"/>
    <mergeCell ref="X44:Z44"/>
    <mergeCell ref="AA44:AB44"/>
    <mergeCell ref="A29:A30"/>
    <mergeCell ref="O28:P28"/>
    <mergeCell ref="O30:P30"/>
    <mergeCell ref="F27:F28"/>
    <mergeCell ref="AO27:AO28"/>
    <mergeCell ref="AO29:AO30"/>
    <mergeCell ref="O32:P32"/>
    <mergeCell ref="AO31:AO32"/>
    <mergeCell ref="AJ32:AL32"/>
    <mergeCell ref="AG32:AI32"/>
    <mergeCell ref="AD32:AF32"/>
    <mergeCell ref="X32:Z32"/>
    <mergeCell ref="U32:W32"/>
    <mergeCell ref="R28:T28"/>
    <mergeCell ref="R30:T30"/>
    <mergeCell ref="R32:T32"/>
    <mergeCell ref="B27:B28"/>
    <mergeCell ref="C27:C28"/>
    <mergeCell ref="D27:D28"/>
    <mergeCell ref="E27:E28"/>
    <mergeCell ref="AA30:AB30"/>
    <mergeCell ref="A35:A36"/>
    <mergeCell ref="B35:B36"/>
    <mergeCell ref="C35:C36"/>
    <mergeCell ref="D35:D36"/>
    <mergeCell ref="E35:E36"/>
    <mergeCell ref="F35:F36"/>
    <mergeCell ref="K35:K36"/>
    <mergeCell ref="L35:L36"/>
    <mergeCell ref="M35:M36"/>
    <mergeCell ref="I35:I36"/>
    <mergeCell ref="F37:F38"/>
    <mergeCell ref="G37:H38"/>
    <mergeCell ref="I37:I38"/>
    <mergeCell ref="I39:I40"/>
    <mergeCell ref="E37:E38"/>
    <mergeCell ref="D37:D38"/>
    <mergeCell ref="C37:C38"/>
    <mergeCell ref="B37:B38"/>
    <mergeCell ref="A37:A38"/>
    <mergeCell ref="A39:A40"/>
    <mergeCell ref="B39:B40"/>
    <mergeCell ref="C39:C40"/>
    <mergeCell ref="D39:D40"/>
    <mergeCell ref="E39:E40"/>
    <mergeCell ref="F39:F40"/>
    <mergeCell ref="A43:A44"/>
    <mergeCell ref="B43:B44"/>
    <mergeCell ref="C43:C44"/>
    <mergeCell ref="D43:D44"/>
    <mergeCell ref="E43:E44"/>
    <mergeCell ref="F43:F44"/>
    <mergeCell ref="M41:M42"/>
    <mergeCell ref="L41:L42"/>
    <mergeCell ref="K41:K42"/>
    <mergeCell ref="F41:F42"/>
    <mergeCell ref="G43:H44"/>
    <mergeCell ref="I41:I42"/>
    <mergeCell ref="I43:I44"/>
    <mergeCell ref="E41:E42"/>
    <mergeCell ref="D41:D42"/>
    <mergeCell ref="C41:C42"/>
    <mergeCell ref="B41:B42"/>
    <mergeCell ref="A41:A42"/>
    <mergeCell ref="F47:F48"/>
    <mergeCell ref="K47:K48"/>
    <mergeCell ref="L47:L48"/>
    <mergeCell ref="I47:I48"/>
    <mergeCell ref="J47:J48"/>
    <mergeCell ref="G47:H48"/>
    <mergeCell ref="C45:C46"/>
    <mergeCell ref="B45:B46"/>
    <mergeCell ref="A45:A46"/>
    <mergeCell ref="F45:F46"/>
    <mergeCell ref="E45:E46"/>
    <mergeCell ref="D45:D46"/>
    <mergeCell ref="I45:I46"/>
    <mergeCell ref="J45:J46"/>
    <mergeCell ref="F49:F50"/>
    <mergeCell ref="L110:L111"/>
    <mergeCell ref="K110:K111"/>
    <mergeCell ref="F110:F111"/>
    <mergeCell ref="G108:H109"/>
    <mergeCell ref="E110:E111"/>
    <mergeCell ref="F108:F109"/>
    <mergeCell ref="K108:K109"/>
    <mergeCell ref="L108:L109"/>
    <mergeCell ref="I49:I50"/>
    <mergeCell ref="J49:J50"/>
    <mergeCell ref="G49:H50"/>
    <mergeCell ref="G106:H107"/>
    <mergeCell ref="I106:I107"/>
    <mergeCell ref="J106:J107"/>
    <mergeCell ref="L120:L121"/>
    <mergeCell ref="K120:K121"/>
    <mergeCell ref="F120:F121"/>
    <mergeCell ref="E120:E121"/>
    <mergeCell ref="D124:D125"/>
    <mergeCell ref="C124:C125"/>
    <mergeCell ref="B124:B125"/>
    <mergeCell ref="D120:D121"/>
    <mergeCell ref="C120:C121"/>
    <mergeCell ref="B120:B121"/>
    <mergeCell ref="B122:B123"/>
    <mergeCell ref="C122:C123"/>
    <mergeCell ref="B118:B119"/>
    <mergeCell ref="C118:C119"/>
    <mergeCell ref="AG34:AI34"/>
    <mergeCell ref="AJ34:AL34"/>
    <mergeCell ref="AA28:AB28"/>
    <mergeCell ref="AA32:AB32"/>
    <mergeCell ref="F112:F113"/>
    <mergeCell ref="E112:E113"/>
    <mergeCell ref="D112:D113"/>
    <mergeCell ref="C112:C113"/>
    <mergeCell ref="B114:B115"/>
    <mergeCell ref="C114:C115"/>
    <mergeCell ref="D114:D115"/>
    <mergeCell ref="L112:L113"/>
    <mergeCell ref="K112:K113"/>
    <mergeCell ref="E114:E115"/>
    <mergeCell ref="F114:F115"/>
    <mergeCell ref="E49:E50"/>
    <mergeCell ref="D49:D50"/>
    <mergeCell ref="AA34:AB34"/>
    <mergeCell ref="R34:T34"/>
    <mergeCell ref="U34:W34"/>
    <mergeCell ref="X34:Z34"/>
    <mergeCell ref="E33:E34"/>
    <mergeCell ref="A49:A50"/>
    <mergeCell ref="A47:A48"/>
    <mergeCell ref="B47:B48"/>
    <mergeCell ref="C47:C48"/>
    <mergeCell ref="D47:D48"/>
    <mergeCell ref="E47:E48"/>
    <mergeCell ref="C110:C111"/>
    <mergeCell ref="B110:B111"/>
    <mergeCell ref="A110:A111"/>
    <mergeCell ref="A108:A109"/>
    <mergeCell ref="B108:B109"/>
    <mergeCell ref="C108:C109"/>
    <mergeCell ref="D108:D109"/>
    <mergeCell ref="E108:E109"/>
    <mergeCell ref="D110:D111"/>
    <mergeCell ref="A106:A107"/>
    <mergeCell ref="A51:A105"/>
    <mergeCell ref="B51:B105"/>
    <mergeCell ref="C51:C105"/>
    <mergeCell ref="D51:D105"/>
    <mergeCell ref="E51:E105"/>
    <mergeCell ref="C49:C50"/>
    <mergeCell ref="B49:B50"/>
    <mergeCell ref="E126:E127"/>
    <mergeCell ref="F122:F123"/>
    <mergeCell ref="K122:K123"/>
    <mergeCell ref="L122:L123"/>
    <mergeCell ref="M122:M123"/>
    <mergeCell ref="N122:N123"/>
    <mergeCell ref="K124:K125"/>
    <mergeCell ref="F124:F125"/>
    <mergeCell ref="E124:E125"/>
    <mergeCell ref="G124:H125"/>
    <mergeCell ref="I124:I125"/>
    <mergeCell ref="J124:J125"/>
    <mergeCell ref="G126:H127"/>
    <mergeCell ref="N124:N125"/>
    <mergeCell ref="M124:M125"/>
    <mergeCell ref="L124:L125"/>
    <mergeCell ref="AO9:AO10"/>
    <mergeCell ref="R10:T10"/>
    <mergeCell ref="U10:W10"/>
    <mergeCell ref="X10:Z10"/>
    <mergeCell ref="F126:F127"/>
    <mergeCell ref="K126:K127"/>
    <mergeCell ref="L126:L127"/>
    <mergeCell ref="M126:M127"/>
    <mergeCell ref="N126:N127"/>
    <mergeCell ref="M25:M26"/>
    <mergeCell ref="N25:N26"/>
    <mergeCell ref="K31:K32"/>
    <mergeCell ref="L31:L32"/>
    <mergeCell ref="M31:M32"/>
    <mergeCell ref="N31:N32"/>
    <mergeCell ref="J33:J34"/>
    <mergeCell ref="J35:J36"/>
    <mergeCell ref="J37:J38"/>
    <mergeCell ref="J39:J40"/>
    <mergeCell ref="J41:J42"/>
    <mergeCell ref="J43:J44"/>
    <mergeCell ref="AO25:AO26"/>
    <mergeCell ref="AG26:AI26"/>
    <mergeCell ref="F25:F26"/>
    <mergeCell ref="A3:A4"/>
    <mergeCell ref="B3:B4"/>
    <mergeCell ref="C3:C4"/>
    <mergeCell ref="AO7:AO8"/>
    <mergeCell ref="O8:Q8"/>
    <mergeCell ref="R8:T8"/>
    <mergeCell ref="U8:W8"/>
    <mergeCell ref="AA8:AC8"/>
    <mergeCell ref="AD8:AF8"/>
    <mergeCell ref="AG8:AI8"/>
    <mergeCell ref="AJ8:AL8"/>
    <mergeCell ref="AJ6:AL6"/>
    <mergeCell ref="AG6:AI6"/>
    <mergeCell ref="AD6:AF6"/>
    <mergeCell ref="AA6:AC6"/>
    <mergeCell ref="X6:Z6"/>
    <mergeCell ref="F7:F8"/>
    <mergeCell ref="A7:A8"/>
    <mergeCell ref="B7:B8"/>
    <mergeCell ref="C7:C8"/>
    <mergeCell ref="D7:D8"/>
    <mergeCell ref="E7:E8"/>
    <mergeCell ref="G7:H8"/>
    <mergeCell ref="I7:J8"/>
    <mergeCell ref="O2:Q2"/>
    <mergeCell ref="AO3:AO4"/>
    <mergeCell ref="A5:A6"/>
    <mergeCell ref="B5:B6"/>
    <mergeCell ref="C5:C6"/>
    <mergeCell ref="D5:D6"/>
    <mergeCell ref="E5:E6"/>
    <mergeCell ref="F5:F6"/>
    <mergeCell ref="K5:K6"/>
    <mergeCell ref="R2:T2"/>
    <mergeCell ref="U2:W2"/>
    <mergeCell ref="X2:Z2"/>
    <mergeCell ref="AA2:AC2"/>
    <mergeCell ref="AD2:AF2"/>
    <mergeCell ref="AG2:AI2"/>
    <mergeCell ref="AJ2:AL2"/>
    <mergeCell ref="D3:D4"/>
    <mergeCell ref="E3:E4"/>
    <mergeCell ref="AG4:AH4"/>
    <mergeCell ref="F3:F4"/>
    <mergeCell ref="K3:K4"/>
    <mergeCell ref="L3:L4"/>
    <mergeCell ref="M3:M4"/>
    <mergeCell ref="N3:N4"/>
    <mergeCell ref="A21:A22"/>
    <mergeCell ref="B21:B22"/>
    <mergeCell ref="C21:C22"/>
    <mergeCell ref="D21:D22"/>
    <mergeCell ref="E21:E22"/>
    <mergeCell ref="F21:F22"/>
    <mergeCell ref="J21:J22"/>
    <mergeCell ref="I9:I10"/>
    <mergeCell ref="J9:J10"/>
    <mergeCell ref="A11:A20"/>
    <mergeCell ref="B11:B20"/>
    <mergeCell ref="C11:C20"/>
    <mergeCell ref="D11:D20"/>
    <mergeCell ref="E11:E20"/>
    <mergeCell ref="F11:F20"/>
    <mergeCell ref="A9:A10"/>
    <mergeCell ref="B9:B10"/>
    <mergeCell ref="C9:C10"/>
    <mergeCell ref="D9:D10"/>
    <mergeCell ref="E9:E10"/>
    <mergeCell ref="F9:F10"/>
    <mergeCell ref="G11:H20"/>
    <mergeCell ref="G9:H10"/>
    <mergeCell ref="I21:I22"/>
    <mergeCell ref="AD22:AF22"/>
    <mergeCell ref="X8:Y8"/>
    <mergeCell ref="AA4:AB4"/>
    <mergeCell ref="K7:K8"/>
    <mergeCell ref="L7:L8"/>
    <mergeCell ref="M7:M8"/>
    <mergeCell ref="N7:N8"/>
    <mergeCell ref="K11:K20"/>
    <mergeCell ref="L11:L20"/>
    <mergeCell ref="M11:M20"/>
    <mergeCell ref="N9:N10"/>
    <mergeCell ref="K21:K22"/>
    <mergeCell ref="AD12:AF20"/>
    <mergeCell ref="N21:N22"/>
    <mergeCell ref="O22:P22"/>
    <mergeCell ref="R22:T22"/>
    <mergeCell ref="R12:T20"/>
    <mergeCell ref="O12:Q20"/>
    <mergeCell ref="X12:Z20"/>
    <mergeCell ref="AA12:AC20"/>
    <mergeCell ref="AA22:AC22"/>
    <mergeCell ref="K9:K10"/>
    <mergeCell ref="L9:L10"/>
    <mergeCell ref="M9:M10"/>
    <mergeCell ref="D33:D34"/>
    <mergeCell ref="C33:C34"/>
    <mergeCell ref="B33:B34"/>
    <mergeCell ref="AD26:AE26"/>
    <mergeCell ref="AA26:AB26"/>
    <mergeCell ref="X26:Z26"/>
    <mergeCell ref="U26:W26"/>
    <mergeCell ref="K25:K26"/>
    <mergeCell ref="L25:L26"/>
    <mergeCell ref="B25:B26"/>
    <mergeCell ref="C25:C26"/>
    <mergeCell ref="D25:D26"/>
    <mergeCell ref="E25:E26"/>
    <mergeCell ref="E29:E30"/>
    <mergeCell ref="D29:D30"/>
    <mergeCell ref="C29:C30"/>
    <mergeCell ref="B29:B30"/>
    <mergeCell ref="N29:N30"/>
    <mergeCell ref="M29:M30"/>
    <mergeCell ref="J29:J30"/>
    <mergeCell ref="F33:F34"/>
    <mergeCell ref="I33:I34"/>
    <mergeCell ref="A33:A34"/>
    <mergeCell ref="A31:A32"/>
    <mergeCell ref="B31:B32"/>
    <mergeCell ref="C31:C32"/>
    <mergeCell ref="F31:F32"/>
    <mergeCell ref="F29:F30"/>
    <mergeCell ref="A27:A28"/>
    <mergeCell ref="U24:W24"/>
    <mergeCell ref="K23:K24"/>
    <mergeCell ref="J31:J32"/>
    <mergeCell ref="O34:P34"/>
    <mergeCell ref="A23:A24"/>
    <mergeCell ref="B23:B24"/>
    <mergeCell ref="C23:C24"/>
    <mergeCell ref="D23:D24"/>
    <mergeCell ref="E23:E24"/>
    <mergeCell ref="F23:F24"/>
    <mergeCell ref="A25:A26"/>
    <mergeCell ref="L29:L30"/>
    <mergeCell ref="K29:K30"/>
    <mergeCell ref="D31:D32"/>
    <mergeCell ref="E31:E32"/>
    <mergeCell ref="I29:I30"/>
    <mergeCell ref="I31:I32"/>
    <mergeCell ref="AP2:AQ2"/>
    <mergeCell ref="O6:Q6"/>
    <mergeCell ref="I2:J2"/>
    <mergeCell ref="AP3:AP4"/>
    <mergeCell ref="AQ3:AQ4"/>
    <mergeCell ref="AO108:AO109"/>
    <mergeCell ref="AG22:AI22"/>
    <mergeCell ref="O107:P107"/>
    <mergeCell ref="R107:T107"/>
    <mergeCell ref="U107:W107"/>
    <mergeCell ref="X107:Z107"/>
    <mergeCell ref="AA107:AB107"/>
    <mergeCell ref="AD107:AF107"/>
    <mergeCell ref="O38:P38"/>
    <mergeCell ref="K27:K28"/>
    <mergeCell ref="AJ22:AL22"/>
    <mergeCell ref="AO21:AO22"/>
    <mergeCell ref="AD34:AF34"/>
    <mergeCell ref="AD30:AF30"/>
    <mergeCell ref="AD28:AF28"/>
    <mergeCell ref="AO23:AO24"/>
    <mergeCell ref="AA24:AB24"/>
    <mergeCell ref="AD24:AE24"/>
    <mergeCell ref="AP11:AQ20"/>
    <mergeCell ref="AR3:AR4"/>
    <mergeCell ref="AP5:AQ6"/>
    <mergeCell ref="AR5:AR6"/>
    <mergeCell ref="I5:I6"/>
    <mergeCell ref="J5:J6"/>
    <mergeCell ref="AP7:AQ8"/>
    <mergeCell ref="AR7:AR8"/>
    <mergeCell ref="AP9:AQ10"/>
    <mergeCell ref="AR9:AR10"/>
    <mergeCell ref="L5:L6"/>
    <mergeCell ref="M5:M6"/>
    <mergeCell ref="N5:N6"/>
    <mergeCell ref="AO5:AO6"/>
    <mergeCell ref="R4:T4"/>
    <mergeCell ref="X4:Z4"/>
    <mergeCell ref="AD4:AF4"/>
    <mergeCell ref="AJ4:AL4"/>
    <mergeCell ref="U6:W6"/>
    <mergeCell ref="R6:T6"/>
    <mergeCell ref="I3:I4"/>
    <mergeCell ref="J3:J4"/>
    <mergeCell ref="AD10:AF10"/>
    <mergeCell ref="AG10:AI10"/>
    <mergeCell ref="AJ10:AL10"/>
    <mergeCell ref="AG24:AI24"/>
    <mergeCell ref="AJ24:AL24"/>
    <mergeCell ref="AG28:AI28"/>
    <mergeCell ref="AG30:AI30"/>
    <mergeCell ref="L23:L24"/>
    <mergeCell ref="M23:M24"/>
    <mergeCell ref="N23:N24"/>
    <mergeCell ref="U28:W28"/>
    <mergeCell ref="L27:L28"/>
    <mergeCell ref="M27:M28"/>
    <mergeCell ref="N27:N28"/>
    <mergeCell ref="X24:Z24"/>
    <mergeCell ref="X28:Z28"/>
    <mergeCell ref="X30:Z30"/>
    <mergeCell ref="U30:W30"/>
    <mergeCell ref="AO11:AO20"/>
    <mergeCell ref="AJ12:AL20"/>
    <mergeCell ref="AJ26:AL26"/>
    <mergeCell ref="AJ28:AL28"/>
    <mergeCell ref="AR29:AR30"/>
    <mergeCell ref="AP29:AQ30"/>
    <mergeCell ref="AP27:AQ28"/>
    <mergeCell ref="AR27:AR28"/>
    <mergeCell ref="AP31:AQ32"/>
    <mergeCell ref="AR31:AR32"/>
    <mergeCell ref="AP21:AQ22"/>
    <mergeCell ref="AR21:AR22"/>
    <mergeCell ref="AP33:AQ34"/>
    <mergeCell ref="AR33:AR34"/>
    <mergeCell ref="AJ30:AL30"/>
    <mergeCell ref="AO33:AO34"/>
    <mergeCell ref="N106:N107"/>
    <mergeCell ref="AP35:AQ36"/>
    <mergeCell ref="AR35:AR36"/>
    <mergeCell ref="AP37:AQ38"/>
    <mergeCell ref="AR37:AR38"/>
    <mergeCell ref="AP39:AQ40"/>
    <mergeCell ref="AR39:AR40"/>
    <mergeCell ref="AP41:AQ42"/>
    <mergeCell ref="AR41:AR42"/>
    <mergeCell ref="AP43:AQ44"/>
    <mergeCell ref="AR43:AR44"/>
    <mergeCell ref="AJ40:AL40"/>
    <mergeCell ref="O36:P36"/>
    <mergeCell ref="AA36:AB36"/>
    <mergeCell ref="R36:T36"/>
    <mergeCell ref="U36:W36"/>
    <mergeCell ref="X36:Z36"/>
    <mergeCell ref="AD36:AF36"/>
    <mergeCell ref="AG36:AI36"/>
    <mergeCell ref="AJ36:AL36"/>
    <mergeCell ref="AO35:AO36"/>
    <mergeCell ref="O40:P40"/>
    <mergeCell ref="R40:T40"/>
    <mergeCell ref="U40:W40"/>
    <mergeCell ref="AG50:AI50"/>
    <mergeCell ref="AR45:AR46"/>
    <mergeCell ref="AP47:AQ48"/>
    <mergeCell ref="AR47:AR48"/>
    <mergeCell ref="AP49:AQ50"/>
    <mergeCell ref="AR49:AR50"/>
    <mergeCell ref="X40:Z40"/>
    <mergeCell ref="AA40:AB40"/>
    <mergeCell ref="AD40:AF40"/>
    <mergeCell ref="AD44:AF44"/>
    <mergeCell ref="AG44:AI44"/>
    <mergeCell ref="AJ44:AL44"/>
    <mergeCell ref="AO43:AO44"/>
    <mergeCell ref="O42:P42"/>
    <mergeCell ref="R42:T42"/>
    <mergeCell ref="U42:W42"/>
    <mergeCell ref="X42:Z42"/>
    <mergeCell ref="AA42:AB42"/>
    <mergeCell ref="AD42:AF42"/>
    <mergeCell ref="AG42:AI42"/>
    <mergeCell ref="AR106:AR107"/>
    <mergeCell ref="AO106:AO107"/>
    <mergeCell ref="N49:N50"/>
    <mergeCell ref="M49:M50"/>
    <mergeCell ref="L49:L50"/>
    <mergeCell ref="K49:K50"/>
    <mergeCell ref="AD52:AF105"/>
    <mergeCell ref="AG52:AI105"/>
    <mergeCell ref="U50:W50"/>
    <mergeCell ref="X50:Z50"/>
    <mergeCell ref="AA50:AB50"/>
    <mergeCell ref="AD50:AF50"/>
    <mergeCell ref="L106:L107"/>
    <mergeCell ref="K106:K107"/>
    <mergeCell ref="K51:K105"/>
    <mergeCell ref="L51:L105"/>
    <mergeCell ref="O104:P104"/>
    <mergeCell ref="O98:P98"/>
    <mergeCell ref="O100:P100"/>
    <mergeCell ref="O58:P58"/>
    <mergeCell ref="O59:P59"/>
    <mergeCell ref="O60:P60"/>
    <mergeCell ref="O52:P52"/>
    <mergeCell ref="O53:P53"/>
    <mergeCell ref="AP45:AQ46"/>
    <mergeCell ref="U115:W115"/>
    <mergeCell ref="X115:Z115"/>
    <mergeCell ref="AA115:AB115"/>
    <mergeCell ref="AA111:AB111"/>
    <mergeCell ref="AD111:AF111"/>
    <mergeCell ref="AG111:AI111"/>
    <mergeCell ref="AO49:AO50"/>
    <mergeCell ref="AJ52:AL105"/>
    <mergeCell ref="AJ50:AL50"/>
    <mergeCell ref="AG48:AI48"/>
    <mergeCell ref="AJ48:AL48"/>
    <mergeCell ref="AO47:AO48"/>
    <mergeCell ref="U48:W48"/>
    <mergeCell ref="X48:Z48"/>
    <mergeCell ref="AA48:AB48"/>
    <mergeCell ref="AD48:AF48"/>
    <mergeCell ref="AP51:AQ105"/>
    <mergeCell ref="AA52:AB105"/>
    <mergeCell ref="AP108:AQ109"/>
    <mergeCell ref="AP106:AQ107"/>
    <mergeCell ref="AD115:AF115"/>
    <mergeCell ref="AJ107:AL107"/>
    <mergeCell ref="AJ109:AL109"/>
    <mergeCell ref="AR108:AR109"/>
    <mergeCell ref="G110:H111"/>
    <mergeCell ref="AP110:AQ111"/>
    <mergeCell ref="AR110:AR111"/>
    <mergeCell ref="G114:H115"/>
    <mergeCell ref="AP114:AQ115"/>
    <mergeCell ref="AR114:AR115"/>
    <mergeCell ref="M114:M115"/>
    <mergeCell ref="N114:N115"/>
    <mergeCell ref="N112:N113"/>
    <mergeCell ref="M112:M113"/>
    <mergeCell ref="R111:T111"/>
    <mergeCell ref="U111:W111"/>
    <mergeCell ref="X111:Z111"/>
    <mergeCell ref="AO114:AO115"/>
    <mergeCell ref="AP112:AQ113"/>
    <mergeCell ref="O109:P109"/>
    <mergeCell ref="R109:T109"/>
    <mergeCell ref="U109:W109"/>
    <mergeCell ref="X109:Z109"/>
    <mergeCell ref="AA109:AB109"/>
    <mergeCell ref="O111:P111"/>
    <mergeCell ref="N110:N111"/>
    <mergeCell ref="AJ115:AL115"/>
    <mergeCell ref="AP128:AQ131"/>
    <mergeCell ref="AR120:AR121"/>
    <mergeCell ref="G122:H123"/>
    <mergeCell ref="I122:I123"/>
    <mergeCell ref="J122:J123"/>
    <mergeCell ref="AP122:AQ123"/>
    <mergeCell ref="AR122:AR123"/>
    <mergeCell ref="R125:T125"/>
    <mergeCell ref="U125:W125"/>
    <mergeCell ref="X127:Z127"/>
    <mergeCell ref="AA127:AC127"/>
    <mergeCell ref="AD127:AF127"/>
    <mergeCell ref="AP124:AQ125"/>
    <mergeCell ref="AR124:AR125"/>
    <mergeCell ref="AR126:AR127"/>
    <mergeCell ref="O123:P123"/>
    <mergeCell ref="O121:P121"/>
    <mergeCell ref="U127:W127"/>
    <mergeCell ref="AG127:AI127"/>
    <mergeCell ref="AJ127:AL127"/>
    <mergeCell ref="AO126:AO127"/>
    <mergeCell ref="AJ125:AL125"/>
    <mergeCell ref="G128:H128"/>
    <mergeCell ref="AA129:AC131"/>
    <mergeCell ref="M128:M131"/>
    <mergeCell ref="O113:Q113"/>
    <mergeCell ref="R113:T113"/>
    <mergeCell ref="U113:W113"/>
    <mergeCell ref="X112:X113"/>
    <mergeCell ref="Y112:Z112"/>
    <mergeCell ref="Y113:Z113"/>
    <mergeCell ref="O129:Q131"/>
    <mergeCell ref="U129:W131"/>
    <mergeCell ref="X129:Z131"/>
    <mergeCell ref="N116:N117"/>
    <mergeCell ref="U121:W121"/>
    <mergeCell ref="X125:Z125"/>
    <mergeCell ref="R121:S121"/>
    <mergeCell ref="N120:N121"/>
    <mergeCell ref="M120:M121"/>
    <mergeCell ref="M47:M48"/>
    <mergeCell ref="N47:N48"/>
    <mergeCell ref="N45:N46"/>
    <mergeCell ref="M45:M46"/>
    <mergeCell ref="L45:L46"/>
    <mergeCell ref="K45:K46"/>
    <mergeCell ref="O46:P46"/>
    <mergeCell ref="L21:L22"/>
    <mergeCell ref="M21:M22"/>
    <mergeCell ref="N39:N40"/>
    <mergeCell ref="N37:N38"/>
    <mergeCell ref="M37:M38"/>
    <mergeCell ref="L37:L38"/>
    <mergeCell ref="K37:K38"/>
    <mergeCell ref="N35:N36"/>
    <mergeCell ref="N33:N34"/>
    <mergeCell ref="M33:M34"/>
    <mergeCell ref="L33:L34"/>
    <mergeCell ref="K33:K34"/>
    <mergeCell ref="K39:K40"/>
    <mergeCell ref="L39:L40"/>
    <mergeCell ref="M39:M40"/>
    <mergeCell ref="U22:W22"/>
    <mergeCell ref="X22:Z22"/>
    <mergeCell ref="AD129:AF131"/>
    <mergeCell ref="AG129:AI131"/>
    <mergeCell ref="AJ129:AL131"/>
    <mergeCell ref="R129:S131"/>
    <mergeCell ref="R119:S119"/>
    <mergeCell ref="O119:P119"/>
    <mergeCell ref="U119:W119"/>
    <mergeCell ref="O68:P68"/>
    <mergeCell ref="O69:P69"/>
    <mergeCell ref="O82:P82"/>
    <mergeCell ref="O83:P83"/>
    <mergeCell ref="O84:P84"/>
    <mergeCell ref="O85:P85"/>
    <mergeCell ref="O70:P70"/>
    <mergeCell ref="O71:P71"/>
    <mergeCell ref="O72:P72"/>
    <mergeCell ref="O73:P73"/>
    <mergeCell ref="O74:P74"/>
    <mergeCell ref="O75:P75"/>
    <mergeCell ref="O105:P105"/>
    <mergeCell ref="O90:P90"/>
    <mergeCell ref="O91:P9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E793-F3C9-C84C-930E-EE27494F4E73}">
  <dimension ref="A1:E23"/>
  <sheetViews>
    <sheetView zoomScale="80" zoomScaleNormal="80" workbookViewId="0">
      <selection activeCell="E22" sqref="E22"/>
    </sheetView>
  </sheetViews>
  <sheetFormatPr defaultColWidth="10.796875" defaultRowHeight="15.6"/>
  <cols>
    <col min="1" max="1" width="29.796875" style="23" customWidth="1"/>
    <col min="2" max="2" width="30" style="23" customWidth="1"/>
    <col min="3" max="3" width="32.19921875" style="23" customWidth="1"/>
    <col min="4" max="4" width="22.5" style="23" customWidth="1"/>
    <col min="5" max="5" width="28.796875" style="23" customWidth="1"/>
    <col min="6" max="16384" width="10.796875" style="23"/>
  </cols>
  <sheetData>
    <row r="1" spans="1:5" ht="16.05" customHeight="1"/>
    <row r="2" spans="1:5">
      <c r="A2" s="612" t="s">
        <v>155</v>
      </c>
      <c r="B2" s="612"/>
      <c r="D2" s="612" t="s">
        <v>155</v>
      </c>
      <c r="E2" s="612"/>
    </row>
    <row r="3" spans="1:5" ht="60" customHeight="1">
      <c r="A3" s="612" t="s">
        <v>394</v>
      </c>
      <c r="B3" s="612"/>
      <c r="D3" s="131" t="s">
        <v>398</v>
      </c>
      <c r="E3" s="131">
        <v>80928</v>
      </c>
    </row>
    <row r="4" spans="1:5">
      <c r="A4" s="131" t="s">
        <v>380</v>
      </c>
      <c r="B4" s="131">
        <v>249186518</v>
      </c>
      <c r="D4"/>
      <c r="E4"/>
    </row>
    <row r="5" spans="1:5">
      <c r="A5" s="131" t="s">
        <v>395</v>
      </c>
      <c r="B5" s="131">
        <v>670854794</v>
      </c>
      <c r="D5"/>
      <c r="E5"/>
    </row>
    <row r="6" spans="1:5">
      <c r="A6" s="131" t="s">
        <v>396</v>
      </c>
      <c r="B6" s="131">
        <v>2021621348</v>
      </c>
      <c r="D6"/>
      <c r="E6"/>
    </row>
    <row r="7" spans="1:5">
      <c r="A7" s="131" t="s">
        <v>397</v>
      </c>
      <c r="B7" s="131">
        <v>3895132702</v>
      </c>
      <c r="D7"/>
      <c r="E7"/>
    </row>
    <row r="8" spans="1:5">
      <c r="A8" s="131" t="s">
        <v>12</v>
      </c>
      <c r="B8" s="131">
        <v>1326807094</v>
      </c>
      <c r="D8"/>
      <c r="E8"/>
    </row>
    <row r="11" spans="1:5">
      <c r="A11" s="612" t="s">
        <v>465</v>
      </c>
      <c r="B11" s="612"/>
      <c r="C11" s="612"/>
    </row>
    <row r="12" spans="1:5" ht="31.2">
      <c r="A12" s="131" t="s">
        <v>470</v>
      </c>
      <c r="B12" s="131" t="s">
        <v>115</v>
      </c>
      <c r="C12" s="131"/>
    </row>
    <row r="13" spans="1:5">
      <c r="A13" s="131" t="s">
        <v>140</v>
      </c>
      <c r="B13" s="131">
        <f>ROUND(10/15,2)</f>
        <v>0.67</v>
      </c>
      <c r="C13" s="131">
        <f>$B$6*B13</f>
        <v>1354486303.1600001</v>
      </c>
    </row>
    <row r="14" spans="1:5">
      <c r="A14" s="131" t="s">
        <v>133</v>
      </c>
      <c r="B14" s="131">
        <f>1-B13</f>
        <v>0.32999999999999996</v>
      </c>
      <c r="C14" s="131">
        <f>$B$6*B14</f>
        <v>667135044.83999991</v>
      </c>
    </row>
    <row r="18" spans="1:2">
      <c r="A18" s="612" t="s">
        <v>324</v>
      </c>
      <c r="B18" s="612"/>
    </row>
    <row r="19" spans="1:2">
      <c r="A19" s="612" t="s">
        <v>465</v>
      </c>
      <c r="B19" s="612"/>
    </row>
    <row r="20" spans="1:2">
      <c r="A20" s="131"/>
      <c r="B20" s="131" t="s">
        <v>13</v>
      </c>
    </row>
    <row r="21" spans="1:2">
      <c r="A21" s="131" t="s">
        <v>11</v>
      </c>
      <c r="B21" s="131">
        <f>B4+B5+C13</f>
        <v>2274527615.1599998</v>
      </c>
    </row>
    <row r="22" spans="1:2">
      <c r="A22" s="131" t="s">
        <v>14</v>
      </c>
      <c r="B22" s="131">
        <f>C14+B7</f>
        <v>4562267746.8400002</v>
      </c>
    </row>
    <row r="23" spans="1:2">
      <c r="A23" s="131" t="s">
        <v>12</v>
      </c>
      <c r="B23" s="131">
        <f>B8</f>
        <v>1326807094</v>
      </c>
    </row>
  </sheetData>
  <mergeCells count="6">
    <mergeCell ref="A11:C11"/>
    <mergeCell ref="A18:B18"/>
    <mergeCell ref="A19:B19"/>
    <mergeCell ref="A2:B2"/>
    <mergeCell ref="D2:E2"/>
    <mergeCell ref="A3:B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CC0DA-956D-E541-8CEE-95622601564C}">
  <dimension ref="A2:M51"/>
  <sheetViews>
    <sheetView zoomScale="80" zoomScaleNormal="80" workbookViewId="0">
      <selection activeCell="B11" sqref="B11"/>
    </sheetView>
  </sheetViews>
  <sheetFormatPr defaultColWidth="10.796875" defaultRowHeight="15.6"/>
  <cols>
    <col min="1" max="1" width="35.5" style="3" customWidth="1"/>
    <col min="2" max="2" width="40" style="3" customWidth="1"/>
    <col min="3" max="3" width="20.796875" style="3" customWidth="1"/>
    <col min="4" max="4" width="37.796875" style="3" customWidth="1"/>
    <col min="5" max="5" width="36" style="3" customWidth="1"/>
    <col min="6" max="6" width="37.19921875" style="3" customWidth="1"/>
    <col min="7" max="7" width="28.296875" style="3" customWidth="1"/>
    <col min="8" max="8" width="33.19921875" style="3" customWidth="1"/>
    <col min="9" max="9" width="37.19921875" style="3" customWidth="1"/>
    <col min="10" max="11" width="11.796875" style="3" customWidth="1"/>
    <col min="12" max="12" width="7.296875" style="3" customWidth="1"/>
    <col min="13" max="13" width="10.69921875" style="3" customWidth="1"/>
    <col min="14" max="16384" width="10.796875" style="3"/>
  </cols>
  <sheetData>
    <row r="2" spans="1:13" ht="43.95" customHeight="1">
      <c r="A2" s="612" t="s">
        <v>155</v>
      </c>
      <c r="B2" s="612"/>
      <c r="D2" s="618" t="s">
        <v>155</v>
      </c>
      <c r="E2" s="618"/>
    </row>
    <row r="3" spans="1:13" ht="51" customHeight="1">
      <c r="A3" s="612" t="s">
        <v>387</v>
      </c>
      <c r="B3" s="612"/>
      <c r="C3" s="4"/>
      <c r="D3" s="259"/>
      <c r="E3" s="258" t="s">
        <v>473</v>
      </c>
      <c r="F3" s="4"/>
    </row>
    <row r="4" spans="1:13" ht="25.05" customHeight="1">
      <c r="A4" s="131" t="s">
        <v>347</v>
      </c>
      <c r="B4" s="131">
        <v>103268155</v>
      </c>
      <c r="D4" s="90" t="s">
        <v>347</v>
      </c>
      <c r="E4" s="187">
        <v>274</v>
      </c>
    </row>
    <row r="5" spans="1:13" ht="25.05" customHeight="1">
      <c r="A5" s="173" t="s">
        <v>399</v>
      </c>
      <c r="B5" s="131">
        <v>63196969</v>
      </c>
      <c r="C5" s="34"/>
      <c r="D5" s="186" t="s">
        <v>399</v>
      </c>
      <c r="E5" s="187">
        <v>173</v>
      </c>
      <c r="F5" s="34"/>
    </row>
    <row r="6" spans="1:13" ht="25.05" customHeight="1">
      <c r="A6" s="173" t="s">
        <v>400</v>
      </c>
      <c r="B6" s="131">
        <v>60986393</v>
      </c>
      <c r="C6" s="34"/>
      <c r="D6" s="186" t="s">
        <v>400</v>
      </c>
      <c r="E6" s="187">
        <v>173</v>
      </c>
      <c r="F6" s="34"/>
    </row>
    <row r="7" spans="1:13" ht="25.05" customHeight="1">
      <c r="A7" s="173" t="s">
        <v>401</v>
      </c>
      <c r="B7" s="131">
        <v>126920531</v>
      </c>
      <c r="C7" s="34"/>
      <c r="D7" s="186" t="s">
        <v>401</v>
      </c>
      <c r="E7" s="187">
        <v>375</v>
      </c>
      <c r="F7" s="34"/>
    </row>
    <row r="8" spans="1:13" ht="25.05" customHeight="1">
      <c r="A8" s="131" t="s">
        <v>402</v>
      </c>
      <c r="B8" s="131">
        <v>185480419</v>
      </c>
      <c r="D8" s="90" t="s">
        <v>402</v>
      </c>
      <c r="E8" s="187">
        <v>577</v>
      </c>
    </row>
    <row r="9" spans="1:13" ht="25.05" customHeight="1">
      <c r="A9" s="118" t="s">
        <v>403</v>
      </c>
      <c r="B9" s="151">
        <v>326400711</v>
      </c>
      <c r="D9" s="172" t="s">
        <v>403</v>
      </c>
      <c r="E9" s="187">
        <v>1083</v>
      </c>
    </row>
    <row r="10" spans="1:13" ht="25.05" customHeight="1">
      <c r="A10" s="118" t="s">
        <v>404</v>
      </c>
      <c r="B10" s="151">
        <v>582819247</v>
      </c>
      <c r="D10" s="172" t="s">
        <v>404</v>
      </c>
      <c r="E10" s="187">
        <v>2094</v>
      </c>
      <c r="J10" s="646"/>
      <c r="K10" s="646"/>
      <c r="L10" s="646"/>
      <c r="M10" s="646"/>
    </row>
    <row r="11" spans="1:13" ht="25.05" customHeight="1">
      <c r="A11" s="115" t="s">
        <v>405</v>
      </c>
      <c r="B11" s="151">
        <v>831850823</v>
      </c>
      <c r="D11" s="167" t="s">
        <v>405</v>
      </c>
      <c r="E11" s="187">
        <v>3308</v>
      </c>
    </row>
    <row r="12" spans="1:13" ht="25.05" customHeight="1">
      <c r="A12" s="115" t="s">
        <v>406</v>
      </c>
      <c r="B12" s="151">
        <v>1018734174</v>
      </c>
      <c r="C12" s="34"/>
      <c r="D12" s="167" t="s">
        <v>406</v>
      </c>
      <c r="E12" s="187">
        <v>4623</v>
      </c>
      <c r="I12" s="34"/>
      <c r="J12" s="34"/>
      <c r="K12" s="34"/>
      <c r="L12" s="34"/>
      <c r="M12" s="34"/>
    </row>
    <row r="13" spans="1:13" ht="25.05" customHeight="1">
      <c r="A13" s="115" t="s">
        <v>407</v>
      </c>
      <c r="B13" s="151">
        <v>1224925145</v>
      </c>
      <c r="C13" s="34"/>
      <c r="D13" s="167" t="s">
        <v>407</v>
      </c>
      <c r="E13" s="187">
        <v>6646</v>
      </c>
      <c r="I13" s="34"/>
      <c r="J13" s="34"/>
      <c r="K13" s="34"/>
      <c r="L13" s="34"/>
      <c r="M13" s="34"/>
    </row>
    <row r="14" spans="1:13" ht="25.05" customHeight="1">
      <c r="A14" s="118" t="s">
        <v>408</v>
      </c>
      <c r="B14" s="151">
        <v>1293148042</v>
      </c>
      <c r="D14" s="172" t="s">
        <v>408</v>
      </c>
      <c r="E14" s="187">
        <v>9073</v>
      </c>
      <c r="I14" s="34"/>
      <c r="J14" s="34"/>
      <c r="K14" s="34"/>
      <c r="L14" s="34"/>
      <c r="M14" s="34"/>
    </row>
    <row r="15" spans="1:13" ht="25.05" customHeight="1">
      <c r="A15" s="118" t="s">
        <v>409</v>
      </c>
      <c r="B15" s="151">
        <v>1205609055</v>
      </c>
      <c r="D15" s="172" t="s">
        <v>409</v>
      </c>
      <c r="E15" s="187">
        <v>12816</v>
      </c>
      <c r="I15" s="34"/>
      <c r="J15" s="34"/>
      <c r="K15" s="34"/>
      <c r="L15" s="34"/>
      <c r="M15" s="34"/>
    </row>
    <row r="16" spans="1:13" ht="25.05" customHeight="1">
      <c r="A16" s="118" t="s">
        <v>410</v>
      </c>
      <c r="B16" s="151">
        <v>543316399</v>
      </c>
      <c r="D16" s="172" t="s">
        <v>410</v>
      </c>
      <c r="E16" s="187">
        <v>14333</v>
      </c>
    </row>
    <row r="17" spans="1:8" ht="25.05" customHeight="1">
      <c r="B17" s="34"/>
      <c r="H17" s="188"/>
    </row>
    <row r="18" spans="1:8" ht="25.05" customHeight="1">
      <c r="B18" s="34"/>
      <c r="H18" s="188"/>
    </row>
    <row r="19" spans="1:8" ht="25.05" customHeight="1">
      <c r="B19" s="34"/>
    </row>
    <row r="20" spans="1:8" ht="25.05" customHeight="1">
      <c r="A20" s="612" t="s">
        <v>324</v>
      </c>
      <c r="B20" s="612"/>
      <c r="D20" s="612" t="s">
        <v>324</v>
      </c>
      <c r="E20" s="612"/>
      <c r="F20" s="34"/>
      <c r="G20" s="34"/>
    </row>
    <row r="21" spans="1:8" ht="25.05" customHeight="1">
      <c r="A21" s="612" t="s">
        <v>465</v>
      </c>
      <c r="B21" s="612"/>
      <c r="D21" s="612" t="s">
        <v>474</v>
      </c>
      <c r="E21" s="612"/>
      <c r="F21" s="34"/>
      <c r="G21" s="34"/>
    </row>
    <row r="22" spans="1:8" ht="30" customHeight="1">
      <c r="A22" s="131"/>
      <c r="B22" s="131" t="s">
        <v>13</v>
      </c>
      <c r="D22" s="131"/>
      <c r="E22" s="131" t="s">
        <v>13</v>
      </c>
    </row>
    <row r="23" spans="1:8" ht="28.05" customHeight="1">
      <c r="A23" s="131" t="s">
        <v>11</v>
      </c>
      <c r="B23" s="131">
        <f>SUM(B4:B11)</f>
        <v>2280923248</v>
      </c>
      <c r="D23" s="131" t="s">
        <v>11</v>
      </c>
      <c r="E23" s="189">
        <f>SUM(E4:E11)</f>
        <v>8057</v>
      </c>
    </row>
    <row r="24" spans="1:8" ht="30" customHeight="1">
      <c r="A24" s="131" t="s">
        <v>14</v>
      </c>
      <c r="B24" s="131">
        <f>SUM(B12:B15)</f>
        <v>4742416416</v>
      </c>
      <c r="D24" s="131" t="s">
        <v>14</v>
      </c>
      <c r="E24" s="189">
        <f>SUM(E12:E15)</f>
        <v>33158</v>
      </c>
    </row>
    <row r="25" spans="1:8" ht="30" customHeight="1">
      <c r="A25" s="131" t="s">
        <v>12</v>
      </c>
      <c r="B25" s="131">
        <f>B16</f>
        <v>543316399</v>
      </c>
      <c r="D25" s="131" t="s">
        <v>12</v>
      </c>
      <c r="E25" s="189">
        <f>E16</f>
        <v>14333</v>
      </c>
    </row>
    <row r="26" spans="1:8" ht="30" customHeight="1">
      <c r="D26" s="34"/>
      <c r="E26" s="34"/>
    </row>
    <row r="27" spans="1:8" ht="30" customHeight="1">
      <c r="D27" s="34"/>
      <c r="E27" s="34"/>
    </row>
    <row r="28" spans="1:8" ht="30" customHeight="1">
      <c r="D28" s="34"/>
      <c r="E28" s="34"/>
    </row>
    <row r="29" spans="1:8" ht="55.05" customHeight="1">
      <c r="A29" s="627" t="s">
        <v>471</v>
      </c>
      <c r="B29" s="627"/>
      <c r="D29" s="4"/>
      <c r="E29" s="42"/>
      <c r="F29" s="172" t="s">
        <v>197</v>
      </c>
      <c r="H29" s="172" t="s">
        <v>198</v>
      </c>
    </row>
    <row r="30" spans="1:8" ht="52.05" customHeight="1">
      <c r="A30" s="627"/>
      <c r="B30" s="118" t="s">
        <v>331</v>
      </c>
      <c r="F30" s="172" t="s">
        <v>331</v>
      </c>
      <c r="H30" s="172" t="s">
        <v>157</v>
      </c>
    </row>
    <row r="31" spans="1:8" ht="54" customHeight="1">
      <c r="A31" s="627"/>
      <c r="B31" s="118" t="s">
        <v>147</v>
      </c>
      <c r="D31" s="34"/>
      <c r="F31" s="168">
        <f>IMF!I64/(IMF!C64*IMF!D64)</f>
        <v>843227030167.33643</v>
      </c>
      <c r="H31" s="168">
        <f>IMF!H64/IMF!C64</f>
        <v>835005683826.4093</v>
      </c>
    </row>
    <row r="32" spans="1:8" ht="30" customHeight="1">
      <c r="A32" s="118" t="s">
        <v>11</v>
      </c>
      <c r="B32" s="151">
        <f>B23/(IMF!$C$64*IMF!$D$64)</f>
        <v>2017748611.7427289</v>
      </c>
    </row>
    <row r="33" spans="1:5" ht="30" customHeight="1">
      <c r="A33" s="118" t="s">
        <v>14</v>
      </c>
      <c r="B33" s="151">
        <f>B24/(IMF!$C$64*IMF!$D$64)</f>
        <v>4195232850.5925808</v>
      </c>
    </row>
    <row r="34" spans="1:5" ht="30" customHeight="1">
      <c r="A34" s="118" t="s">
        <v>12</v>
      </c>
      <c r="B34" s="151">
        <f>B25/(IMF!$C$64*IMF!$D$64)</f>
        <v>480628145.10771674</v>
      </c>
    </row>
    <row r="35" spans="1:5" ht="30" customHeight="1"/>
    <row r="36" spans="1:5" ht="30" customHeight="1"/>
    <row r="37" spans="1:5">
      <c r="A37" s="42"/>
      <c r="B37" s="42"/>
      <c r="C37" s="42"/>
      <c r="D37" s="42"/>
      <c r="E37" s="42"/>
    </row>
    <row r="38" spans="1:5">
      <c r="A38" s="42"/>
      <c r="B38" s="42"/>
      <c r="C38" s="42"/>
      <c r="D38" s="42"/>
      <c r="E38" s="42"/>
    </row>
    <row r="39" spans="1:5">
      <c r="A39" s="42"/>
      <c r="B39" s="42"/>
      <c r="C39" s="42"/>
      <c r="D39" s="42"/>
      <c r="E39" s="42"/>
    </row>
    <row r="40" spans="1:5">
      <c r="A40" s="42"/>
      <c r="B40" s="42"/>
      <c r="C40" s="42"/>
      <c r="D40" s="42"/>
      <c r="E40" s="42"/>
    </row>
    <row r="41" spans="1:5">
      <c r="A41" s="42"/>
      <c r="B41" s="42"/>
      <c r="C41" s="42"/>
      <c r="D41" s="42"/>
      <c r="E41" s="42"/>
    </row>
    <row r="42" spans="1:5">
      <c r="A42" s="42"/>
      <c r="B42" s="42"/>
      <c r="C42" s="42"/>
      <c r="D42" s="42"/>
      <c r="E42" s="42"/>
    </row>
    <row r="43" spans="1:5">
      <c r="A43" s="42"/>
      <c r="B43" s="42"/>
      <c r="C43" s="42"/>
      <c r="D43" s="42"/>
      <c r="E43" s="42"/>
    </row>
    <row r="44" spans="1:5">
      <c r="A44" s="42"/>
      <c r="B44" s="42"/>
      <c r="C44" s="42"/>
      <c r="D44" s="42"/>
      <c r="E44" s="42"/>
    </row>
    <row r="45" spans="1:5">
      <c r="A45" s="42"/>
      <c r="B45" s="42"/>
      <c r="C45" s="42"/>
      <c r="D45" s="42"/>
      <c r="E45" s="42"/>
    </row>
    <row r="46" spans="1:5">
      <c r="A46" s="42"/>
      <c r="B46" s="42"/>
      <c r="C46" s="42"/>
      <c r="D46" s="42"/>
      <c r="E46" s="42"/>
    </row>
    <row r="47" spans="1:5">
      <c r="A47" s="42"/>
      <c r="B47" s="42"/>
      <c r="C47" s="42"/>
      <c r="D47" s="42"/>
      <c r="E47" s="42"/>
    </row>
    <row r="48" spans="1:5">
      <c r="A48" s="42"/>
      <c r="B48" s="42"/>
      <c r="C48" s="42"/>
      <c r="D48" s="42"/>
      <c r="E48" s="42"/>
    </row>
    <row r="49" spans="2:5" ht="30" customHeight="1"/>
    <row r="50" spans="2:5" ht="30" customHeight="1"/>
    <row r="51" spans="2:5" ht="30" customHeight="1">
      <c r="B51" s="34"/>
      <c r="C51" s="34"/>
      <c r="D51" s="34"/>
      <c r="E51" s="34"/>
    </row>
  </sheetData>
  <mergeCells count="11">
    <mergeCell ref="L10:M10"/>
    <mergeCell ref="A2:B2"/>
    <mergeCell ref="A3:B3"/>
    <mergeCell ref="A20:B20"/>
    <mergeCell ref="A30:A31"/>
    <mergeCell ref="A29:B29"/>
    <mergeCell ref="J10:K10"/>
    <mergeCell ref="D2:E2"/>
    <mergeCell ref="D20:E20"/>
    <mergeCell ref="D21:E21"/>
    <mergeCell ref="A21:B2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3A03-1C38-4B42-835E-49FE54C27AF2}">
  <dimension ref="A2:M46"/>
  <sheetViews>
    <sheetView zoomScale="80" zoomScaleNormal="80" workbookViewId="0">
      <selection activeCell="C13" sqref="C13"/>
    </sheetView>
  </sheetViews>
  <sheetFormatPr defaultColWidth="10.796875" defaultRowHeight="15.6"/>
  <cols>
    <col min="1" max="1" width="30.69921875" style="3" customWidth="1"/>
    <col min="2" max="2" width="40" style="3" customWidth="1"/>
    <col min="3" max="3" width="20.796875" style="3" customWidth="1"/>
    <col min="4" max="4" width="37.796875" style="3" customWidth="1"/>
    <col min="5" max="5" width="40.796875" style="3" customWidth="1"/>
    <col min="6" max="6" width="37.19921875" style="3" customWidth="1"/>
    <col min="7" max="7" width="28.296875" style="3" customWidth="1"/>
    <col min="8" max="8" width="33.19921875" style="3" customWidth="1"/>
    <col min="9" max="9" width="37.19921875" style="3" customWidth="1"/>
    <col min="10" max="11" width="11.796875" style="3" customWidth="1"/>
    <col min="12" max="12" width="7.296875" style="3" customWidth="1"/>
    <col min="13" max="13" width="10.69921875" style="3" customWidth="1"/>
    <col min="14" max="16384" width="10.796875" style="3"/>
  </cols>
  <sheetData>
    <row r="2" spans="1:13" ht="43.95" customHeight="1">
      <c r="A2" s="612" t="s">
        <v>155</v>
      </c>
      <c r="B2" s="612"/>
      <c r="D2" s="618" t="s">
        <v>155</v>
      </c>
      <c r="E2" s="618"/>
    </row>
    <row r="3" spans="1:13" ht="51" customHeight="1">
      <c r="A3" s="612" t="s">
        <v>414</v>
      </c>
      <c r="B3" s="612"/>
      <c r="C3" s="4"/>
      <c r="D3" s="168"/>
      <c r="E3" s="172" t="s">
        <v>476</v>
      </c>
      <c r="F3" s="4"/>
    </row>
    <row r="4" spans="1:13" ht="25.05" customHeight="1">
      <c r="A4" s="131" t="s">
        <v>364</v>
      </c>
      <c r="B4" s="131">
        <v>9549574</v>
      </c>
      <c r="D4" s="90" t="s">
        <v>364</v>
      </c>
      <c r="E4" s="187">
        <v>62</v>
      </c>
    </row>
    <row r="5" spans="1:13" ht="25.05" customHeight="1">
      <c r="A5" s="173" t="s">
        <v>365</v>
      </c>
      <c r="B5" s="192">
        <v>6348504</v>
      </c>
      <c r="C5" s="34"/>
      <c r="D5" s="186" t="s">
        <v>365</v>
      </c>
      <c r="E5" s="187">
        <v>44</v>
      </c>
      <c r="F5" s="34"/>
    </row>
    <row r="6" spans="1:13" ht="25.05" customHeight="1">
      <c r="A6" s="173" t="s">
        <v>366</v>
      </c>
      <c r="B6" s="131">
        <v>19678921</v>
      </c>
      <c r="C6" s="34"/>
      <c r="D6" s="186" t="s">
        <v>366</v>
      </c>
      <c r="E6" s="187">
        <v>150</v>
      </c>
      <c r="F6" s="34"/>
    </row>
    <row r="7" spans="1:13" ht="25.05" customHeight="1">
      <c r="A7" s="173" t="s">
        <v>367</v>
      </c>
      <c r="B7" s="131">
        <v>46689230</v>
      </c>
      <c r="C7" s="34"/>
      <c r="D7" s="186" t="s">
        <v>367</v>
      </c>
      <c r="E7" s="187">
        <v>411</v>
      </c>
      <c r="F7" s="34"/>
    </row>
    <row r="8" spans="1:13" ht="25.05" customHeight="1">
      <c r="A8" s="131" t="s">
        <v>337</v>
      </c>
      <c r="B8" s="131">
        <v>58650419</v>
      </c>
      <c r="D8" s="90" t="s">
        <v>337</v>
      </c>
      <c r="E8" s="187">
        <v>652</v>
      </c>
    </row>
    <row r="9" spans="1:13" ht="25.05" customHeight="1">
      <c r="A9" s="166" t="s">
        <v>338</v>
      </c>
      <c r="B9" s="193">
        <v>59981971</v>
      </c>
      <c r="D9" s="172" t="s">
        <v>338</v>
      </c>
      <c r="E9" s="187">
        <v>1031</v>
      </c>
    </row>
    <row r="10" spans="1:13" ht="25.05" customHeight="1">
      <c r="A10" s="118" t="s">
        <v>12</v>
      </c>
      <c r="B10" s="151">
        <v>67510067</v>
      </c>
      <c r="D10" s="172" t="s">
        <v>12</v>
      </c>
      <c r="E10" s="187">
        <v>3320</v>
      </c>
      <c r="J10" s="646"/>
      <c r="K10" s="646"/>
      <c r="L10" s="646"/>
      <c r="M10" s="646"/>
    </row>
    <row r="11" spans="1:13" ht="25.05" customHeight="1">
      <c r="A11" s="4"/>
      <c r="B11" s="34"/>
      <c r="D11" s="188"/>
      <c r="G11" s="4"/>
      <c r="H11" s="188"/>
    </row>
    <row r="12" spans="1:13" ht="25.05" customHeight="1">
      <c r="A12" s="4"/>
      <c r="B12" s="34"/>
      <c r="C12" s="34"/>
      <c r="G12" s="4"/>
      <c r="H12" s="188"/>
      <c r="I12" s="34"/>
      <c r="J12" s="34"/>
      <c r="K12" s="34"/>
      <c r="L12" s="34"/>
      <c r="M12" s="34"/>
    </row>
    <row r="13" spans="1:13" ht="25.05" customHeight="1">
      <c r="B13" s="34"/>
      <c r="H13" s="188"/>
    </row>
    <row r="14" spans="1:13" ht="25.05" customHeight="1">
      <c r="B14" s="34"/>
    </row>
    <row r="15" spans="1:13" ht="25.05" customHeight="1">
      <c r="A15" s="612" t="s">
        <v>324</v>
      </c>
      <c r="B15" s="612"/>
      <c r="D15" s="612" t="s">
        <v>324</v>
      </c>
      <c r="E15" s="612"/>
      <c r="F15" s="34"/>
      <c r="G15" s="34"/>
    </row>
    <row r="16" spans="1:13" ht="25.05" customHeight="1">
      <c r="A16" s="612" t="s">
        <v>465</v>
      </c>
      <c r="B16" s="612"/>
      <c r="D16" s="612" t="s">
        <v>474</v>
      </c>
      <c r="E16" s="612"/>
      <c r="F16" s="34"/>
      <c r="G16" s="34"/>
    </row>
    <row r="17" spans="1:8" ht="30" customHeight="1">
      <c r="A17" s="131"/>
      <c r="B17" s="131" t="s">
        <v>13</v>
      </c>
      <c r="D17" s="131"/>
      <c r="E17" s="131" t="s">
        <v>13</v>
      </c>
    </row>
    <row r="18" spans="1:8" ht="28.05" customHeight="1">
      <c r="A18" s="131" t="s">
        <v>11</v>
      </c>
      <c r="B18" s="131">
        <f>SUM(B4:B7)</f>
        <v>82266229</v>
      </c>
      <c r="D18" s="131" t="s">
        <v>11</v>
      </c>
      <c r="E18" s="189">
        <f>SUM(E4:E7)</f>
        <v>667</v>
      </c>
    </row>
    <row r="19" spans="1:8" ht="30" customHeight="1">
      <c r="A19" s="131" t="s">
        <v>14</v>
      </c>
      <c r="B19" s="131">
        <f>SUM(B8:B9)</f>
        <v>118632390</v>
      </c>
      <c r="D19" s="131" t="s">
        <v>14</v>
      </c>
      <c r="E19" s="189">
        <f>SUM(E8:E9)</f>
        <v>1683</v>
      </c>
    </row>
    <row r="20" spans="1:8" ht="30" customHeight="1">
      <c r="A20" s="131" t="s">
        <v>12</v>
      </c>
      <c r="B20" s="131">
        <f>B10</f>
        <v>67510067</v>
      </c>
      <c r="D20" s="131" t="s">
        <v>12</v>
      </c>
      <c r="E20" s="189">
        <f>E10</f>
        <v>3320</v>
      </c>
    </row>
    <row r="21" spans="1:8" ht="30" customHeight="1">
      <c r="D21" s="34"/>
      <c r="E21" s="34"/>
    </row>
    <row r="22" spans="1:8" ht="30" customHeight="1">
      <c r="D22" s="34"/>
      <c r="E22" s="34"/>
    </row>
    <row r="23" spans="1:8" ht="30" customHeight="1">
      <c r="D23" s="34"/>
      <c r="E23" s="34"/>
    </row>
    <row r="24" spans="1:8" ht="55.05" customHeight="1">
      <c r="A24" s="633" t="s">
        <v>471</v>
      </c>
      <c r="B24" s="633"/>
      <c r="D24" s="4"/>
      <c r="E24" s="42"/>
      <c r="F24" s="172" t="s">
        <v>197</v>
      </c>
      <c r="H24" s="172" t="s">
        <v>198</v>
      </c>
    </row>
    <row r="25" spans="1:8" ht="52.05" customHeight="1">
      <c r="A25" s="627"/>
      <c r="B25" s="118" t="s">
        <v>331</v>
      </c>
      <c r="F25" s="172" t="s">
        <v>331</v>
      </c>
      <c r="H25" s="172" t="s">
        <v>157</v>
      </c>
    </row>
    <row r="26" spans="1:8" ht="54" customHeight="1">
      <c r="A26" s="627"/>
      <c r="B26" s="118" t="s">
        <v>147</v>
      </c>
      <c r="D26" s="34"/>
      <c r="F26" s="168">
        <f>IMF!I39/(IMF!C39*IMF!D39)</f>
        <v>272685609089.58746</v>
      </c>
      <c r="H26" s="168">
        <f>IMF!H39/IMF!C39</f>
        <v>261643215938.32755</v>
      </c>
    </row>
    <row r="27" spans="1:8" ht="30" customHeight="1">
      <c r="A27" s="118" t="s">
        <v>11</v>
      </c>
      <c r="B27" s="151">
        <f>B18/(IMF!$C$39*IMF!$D$39)</f>
        <v>72021705.773432955</v>
      </c>
    </row>
    <row r="28" spans="1:8" ht="30" customHeight="1">
      <c r="A28" s="118" t="s">
        <v>14</v>
      </c>
      <c r="B28" s="151">
        <f>B19/(IMF!$C$39*IMF!$D$39)</f>
        <v>103859228.64872231</v>
      </c>
    </row>
    <row r="29" spans="1:8" ht="30" customHeight="1">
      <c r="A29" s="118" t="s">
        <v>12</v>
      </c>
      <c r="B29" s="151">
        <f>B20/(IMF!$C$39*IMF!$D$39)</f>
        <v>59103112.435343862</v>
      </c>
    </row>
    <row r="30" spans="1:8" ht="30" customHeight="1"/>
    <row r="31" spans="1:8" ht="30" customHeight="1"/>
    <row r="32" spans="1:8">
      <c r="A32" s="42"/>
      <c r="B32" s="42"/>
      <c r="C32" s="42"/>
      <c r="D32" s="42"/>
      <c r="E32" s="42"/>
    </row>
    <row r="33" spans="1:5">
      <c r="A33" s="42"/>
      <c r="B33" s="42"/>
      <c r="C33" s="42"/>
      <c r="D33" s="42"/>
      <c r="E33" s="42"/>
    </row>
    <row r="34" spans="1:5">
      <c r="A34" s="42"/>
      <c r="B34" s="42"/>
      <c r="C34" s="42"/>
      <c r="D34" s="42"/>
      <c r="E34" s="42"/>
    </row>
    <row r="35" spans="1:5">
      <c r="A35" s="42"/>
      <c r="B35" s="42"/>
      <c r="C35" s="42"/>
      <c r="D35" s="42"/>
      <c r="E35" s="42"/>
    </row>
    <row r="36" spans="1:5">
      <c r="A36" s="42"/>
      <c r="B36" s="42"/>
      <c r="C36" s="42"/>
      <c r="D36" s="42"/>
      <c r="E36" s="42"/>
    </row>
    <row r="37" spans="1:5">
      <c r="A37" s="42"/>
      <c r="B37" s="42"/>
      <c r="C37" s="42"/>
      <c r="D37" s="42"/>
      <c r="E37" s="42"/>
    </row>
    <row r="38" spans="1:5">
      <c r="A38" s="42"/>
      <c r="B38" s="42"/>
      <c r="C38" s="42"/>
      <c r="D38" s="42"/>
      <c r="E38" s="42"/>
    </row>
    <row r="39" spans="1:5">
      <c r="A39" s="42"/>
      <c r="B39" s="42"/>
      <c r="C39" s="42"/>
      <c r="D39" s="42"/>
      <c r="E39" s="42"/>
    </row>
    <row r="40" spans="1:5">
      <c r="A40" s="42"/>
      <c r="B40" s="42"/>
      <c r="C40" s="42"/>
      <c r="D40" s="42"/>
      <c r="E40" s="42"/>
    </row>
    <row r="41" spans="1:5">
      <c r="A41" s="42"/>
      <c r="B41" s="42"/>
      <c r="C41" s="42"/>
      <c r="D41" s="42"/>
      <c r="E41" s="42"/>
    </row>
    <row r="42" spans="1:5">
      <c r="A42" s="42"/>
      <c r="B42" s="42"/>
      <c r="C42" s="42"/>
      <c r="D42" s="42"/>
      <c r="E42" s="42"/>
    </row>
    <row r="43" spans="1:5">
      <c r="A43" s="42"/>
      <c r="B43" s="42"/>
      <c r="C43" s="42"/>
      <c r="D43" s="42"/>
      <c r="E43" s="42"/>
    </row>
    <row r="44" spans="1:5" ht="30" customHeight="1"/>
    <row r="45" spans="1:5" ht="30" customHeight="1"/>
    <row r="46" spans="1:5" ht="30" customHeight="1">
      <c r="B46" s="34"/>
      <c r="C46" s="34"/>
      <c r="D46" s="34"/>
      <c r="E46" s="34"/>
    </row>
  </sheetData>
  <mergeCells count="11">
    <mergeCell ref="L10:M10"/>
    <mergeCell ref="A24:B24"/>
    <mergeCell ref="A15:B15"/>
    <mergeCell ref="D15:E15"/>
    <mergeCell ref="A16:B16"/>
    <mergeCell ref="D16:E16"/>
    <mergeCell ref="A2:B2"/>
    <mergeCell ref="D2:E2"/>
    <mergeCell ref="A3:B3"/>
    <mergeCell ref="A25:A26"/>
    <mergeCell ref="J10:K10"/>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AAA82-7640-5647-87AA-7B9D8BB33535}">
  <dimension ref="A2:D15"/>
  <sheetViews>
    <sheetView zoomScale="80" zoomScaleNormal="80" workbookViewId="0">
      <selection activeCell="G16" sqref="G16"/>
    </sheetView>
  </sheetViews>
  <sheetFormatPr defaultColWidth="11.19921875" defaultRowHeight="15.6"/>
  <cols>
    <col min="1" max="1" width="30" customWidth="1"/>
    <col min="2" max="2" width="34.796875" customWidth="1"/>
    <col min="3" max="3" width="4.296875" customWidth="1"/>
    <col min="4" max="4" width="34.796875" customWidth="1"/>
    <col min="5" max="5" width="17.5" customWidth="1"/>
    <col min="6" max="6" width="5.796875" customWidth="1"/>
    <col min="7" max="7" width="20.796875" customWidth="1"/>
    <col min="8" max="8" width="36" customWidth="1"/>
    <col min="10" max="10" width="34.296875" customWidth="1"/>
  </cols>
  <sheetData>
    <row r="2" spans="1:4">
      <c r="A2" s="619" t="s">
        <v>490</v>
      </c>
      <c r="B2" s="647"/>
      <c r="C2" s="647"/>
      <c r="D2" s="647"/>
    </row>
    <row r="3" spans="1:4" ht="31.2">
      <c r="A3" s="252" t="s">
        <v>487</v>
      </c>
      <c r="B3" s="269">
        <v>101000000000</v>
      </c>
      <c r="C3" s="253" t="s">
        <v>284</v>
      </c>
      <c r="D3" s="270">
        <v>430000000000</v>
      </c>
    </row>
    <row r="5" spans="1:4">
      <c r="B5" s="254"/>
    </row>
    <row r="8" spans="1:4" ht="51" customHeight="1">
      <c r="B8" s="648" t="s">
        <v>488</v>
      </c>
      <c r="C8" s="649"/>
      <c r="D8" s="650"/>
    </row>
    <row r="9" spans="1:4">
      <c r="B9" s="271">
        <f>B3/(IMF!$C$77*IMF!$D$77)</f>
        <v>89346544196.39447</v>
      </c>
      <c r="C9" s="253" t="s">
        <v>284</v>
      </c>
      <c r="D9" s="270">
        <f>D3/(IMF!$C$77*IMF!$D$77)</f>
        <v>380386277271.77844</v>
      </c>
    </row>
    <row r="13" spans="1:4" ht="37.049999999999997" customHeight="1">
      <c r="A13" s="34"/>
      <c r="B13" s="172" t="s">
        <v>197</v>
      </c>
      <c r="C13" s="3"/>
      <c r="D13" s="172" t="s">
        <v>198</v>
      </c>
    </row>
    <row r="14" spans="1:4" ht="39" customHeight="1">
      <c r="B14" s="172" t="s">
        <v>331</v>
      </c>
      <c r="C14" s="3"/>
      <c r="D14" s="172" t="s">
        <v>157</v>
      </c>
    </row>
    <row r="15" spans="1:4" ht="52.95" customHeight="1">
      <c r="B15" s="168">
        <f>IMF!I77/(IMF!C77*IMF!D77)</f>
        <v>22524816678941.965</v>
      </c>
      <c r="C15" s="3"/>
      <c r="D15" s="168">
        <f>IMF!H77/IMF!C77</f>
        <v>22272073784664.18</v>
      </c>
    </row>
  </sheetData>
  <mergeCells count="2">
    <mergeCell ref="A2:D2"/>
    <mergeCell ref="B8:D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7D1D-23E5-EE48-BF72-30033327B4B1}">
  <dimension ref="A2:J39"/>
  <sheetViews>
    <sheetView zoomScale="80" zoomScaleNormal="80" workbookViewId="0">
      <selection activeCell="E34" sqref="E34"/>
    </sheetView>
  </sheetViews>
  <sheetFormatPr defaultColWidth="11.19921875" defaultRowHeight="15.6"/>
  <cols>
    <col min="1" max="1" width="36" customWidth="1"/>
    <col min="2" max="2" width="30.296875" customWidth="1"/>
    <col min="3" max="3" width="28.69921875" customWidth="1"/>
    <col min="4" max="4" width="27.296875" customWidth="1"/>
    <col min="5" max="5" width="28.5" customWidth="1"/>
    <col min="6" max="6" width="23.5" customWidth="1"/>
    <col min="7" max="7" width="19.19921875" customWidth="1"/>
    <col min="8" max="8" width="34.796875" customWidth="1"/>
    <col min="10" max="10" width="32.5" customWidth="1"/>
  </cols>
  <sheetData>
    <row r="2" spans="1:8">
      <c r="A2" s="612" t="s">
        <v>155</v>
      </c>
      <c r="B2" s="612"/>
      <c r="C2" s="23"/>
      <c r="D2" s="612" t="s">
        <v>155</v>
      </c>
      <c r="E2" s="612"/>
      <c r="G2" s="618" t="s">
        <v>155</v>
      </c>
      <c r="H2" s="618"/>
    </row>
    <row r="3" spans="1:8" ht="46.8">
      <c r="A3" s="612" t="s">
        <v>416</v>
      </c>
      <c r="B3" s="612"/>
      <c r="C3" s="23"/>
      <c r="D3" s="131" t="s">
        <v>417</v>
      </c>
      <c r="E3" s="131">
        <v>32690</v>
      </c>
      <c r="G3" s="168"/>
      <c r="H3" s="172" t="s">
        <v>477</v>
      </c>
    </row>
    <row r="4" spans="1:8" ht="25.05" customHeight="1">
      <c r="A4" s="131" t="s">
        <v>415</v>
      </c>
      <c r="B4" s="131">
        <v>1503150</v>
      </c>
      <c r="C4" s="23"/>
      <c r="G4" s="90" t="s">
        <v>415</v>
      </c>
      <c r="H4" s="187">
        <v>28</v>
      </c>
    </row>
    <row r="5" spans="1:8" ht="25.05" customHeight="1">
      <c r="A5" s="173" t="s">
        <v>348</v>
      </c>
      <c r="B5" s="131">
        <v>2891787</v>
      </c>
      <c r="C5" s="23"/>
      <c r="G5" s="186" t="s">
        <v>348</v>
      </c>
      <c r="H5" s="187">
        <v>57</v>
      </c>
    </row>
    <row r="6" spans="1:8" ht="25.05" customHeight="1">
      <c r="A6" s="173" t="s">
        <v>349</v>
      </c>
      <c r="B6" s="131">
        <v>8713513</v>
      </c>
      <c r="C6" s="23"/>
      <c r="G6" s="186" t="s">
        <v>349</v>
      </c>
      <c r="H6" s="187">
        <v>185</v>
      </c>
    </row>
    <row r="7" spans="1:8" ht="25.05" customHeight="1">
      <c r="A7" s="131" t="s">
        <v>350</v>
      </c>
      <c r="B7" s="131">
        <v>14387458</v>
      </c>
      <c r="C7" s="23"/>
      <c r="G7" s="90" t="s">
        <v>350</v>
      </c>
      <c r="H7" s="187">
        <v>341</v>
      </c>
    </row>
    <row r="8" spans="1:8" ht="25.05" customHeight="1">
      <c r="A8" s="131" t="s">
        <v>351</v>
      </c>
      <c r="B8" s="131">
        <v>10591094</v>
      </c>
      <c r="C8" s="23"/>
      <c r="G8" s="90" t="s">
        <v>351</v>
      </c>
      <c r="H8" s="187">
        <v>299</v>
      </c>
    </row>
    <row r="9" spans="1:8" ht="33" customHeight="1">
      <c r="A9" s="131" t="s">
        <v>397</v>
      </c>
      <c r="B9" s="131">
        <v>6933117</v>
      </c>
      <c r="G9" s="90" t="s">
        <v>397</v>
      </c>
      <c r="H9" s="187">
        <v>299</v>
      </c>
    </row>
    <row r="10" spans="1:8" ht="28.95" customHeight="1">
      <c r="A10" s="131" t="s">
        <v>12</v>
      </c>
      <c r="B10" s="131">
        <v>1465470</v>
      </c>
      <c r="G10" s="90" t="s">
        <v>12</v>
      </c>
      <c r="H10" s="187">
        <v>213</v>
      </c>
    </row>
    <row r="17" spans="1:7" ht="16.05" customHeight="1">
      <c r="A17" s="651" t="s">
        <v>465</v>
      </c>
      <c r="B17" s="651"/>
      <c r="C17" s="651"/>
      <c r="D17" s="194"/>
      <c r="E17" s="651" t="s">
        <v>474</v>
      </c>
      <c r="F17" s="651"/>
      <c r="G17" s="651"/>
    </row>
    <row r="18" spans="1:7" ht="31.2">
      <c r="A18" s="195" t="s">
        <v>148</v>
      </c>
      <c r="B18" s="195" t="s">
        <v>115</v>
      </c>
      <c r="C18" s="195" t="s">
        <v>147</v>
      </c>
      <c r="D18" s="194"/>
      <c r="E18" s="195" t="s">
        <v>148</v>
      </c>
      <c r="F18" s="195" t="s">
        <v>115</v>
      </c>
      <c r="G18" s="195" t="s">
        <v>147</v>
      </c>
    </row>
    <row r="19" spans="1:7" ht="25.05" customHeight="1">
      <c r="A19" s="195" t="s">
        <v>126</v>
      </c>
      <c r="B19" s="195">
        <f>ROUND(5/10,2)</f>
        <v>0.5</v>
      </c>
      <c r="C19" s="195">
        <f>$B$8*B19</f>
        <v>5295547</v>
      </c>
      <c r="D19" s="194"/>
      <c r="E19" s="195" t="s">
        <v>126</v>
      </c>
      <c r="F19" s="195">
        <f>ROUND(5/10,2)</f>
        <v>0.5</v>
      </c>
      <c r="G19" s="196">
        <f>$H$8*F19</f>
        <v>149.5</v>
      </c>
    </row>
    <row r="20" spans="1:7" ht="27" customHeight="1">
      <c r="A20" s="195" t="s">
        <v>126</v>
      </c>
      <c r="B20" s="195">
        <f>1-B19</f>
        <v>0.5</v>
      </c>
      <c r="C20" s="195">
        <f>$B$8*B20</f>
        <v>5295547</v>
      </c>
      <c r="D20" s="194"/>
      <c r="E20" s="195" t="s">
        <v>126</v>
      </c>
      <c r="F20" s="195">
        <f>1-F19</f>
        <v>0.5</v>
      </c>
      <c r="G20" s="196">
        <f>$H$8*F20</f>
        <v>149.5</v>
      </c>
    </row>
    <row r="24" spans="1:7" ht="16.05" customHeight="1"/>
    <row r="25" spans="1:7">
      <c r="A25" s="612" t="s">
        <v>324</v>
      </c>
      <c r="B25" s="612"/>
      <c r="C25" s="3"/>
      <c r="D25" s="612" t="s">
        <v>324</v>
      </c>
      <c r="E25" s="612"/>
    </row>
    <row r="26" spans="1:7">
      <c r="A26" s="612" t="s">
        <v>323</v>
      </c>
      <c r="B26" s="612"/>
      <c r="C26" s="3"/>
      <c r="D26" s="612" t="s">
        <v>474</v>
      </c>
      <c r="E26" s="612"/>
    </row>
    <row r="27" spans="1:7">
      <c r="A27" s="131"/>
      <c r="B27" s="131" t="s">
        <v>13</v>
      </c>
      <c r="C27" s="3"/>
      <c r="D27" s="131"/>
      <c r="E27" s="131" t="s">
        <v>13</v>
      </c>
    </row>
    <row r="28" spans="1:7">
      <c r="A28" s="131" t="s">
        <v>11</v>
      </c>
      <c r="B28" s="131">
        <f>B4+B5+B6+B7+C19</f>
        <v>32791455</v>
      </c>
      <c r="C28" s="3"/>
      <c r="D28" s="131" t="s">
        <v>11</v>
      </c>
      <c r="E28" s="189">
        <f>H4+H5+H6+H7+G19</f>
        <v>760.5</v>
      </c>
    </row>
    <row r="29" spans="1:7">
      <c r="A29" s="131" t="s">
        <v>14</v>
      </c>
      <c r="B29" s="131">
        <f>C20+B9</f>
        <v>12228664</v>
      </c>
      <c r="C29" s="3"/>
      <c r="D29" s="131" t="s">
        <v>14</v>
      </c>
      <c r="E29" s="189">
        <f>G20+H9</f>
        <v>448.5</v>
      </c>
    </row>
    <row r="30" spans="1:7">
      <c r="A30" s="131" t="s">
        <v>12</v>
      </c>
      <c r="B30" s="131">
        <f>B10</f>
        <v>1465470</v>
      </c>
      <c r="C30" s="3"/>
      <c r="D30" s="131" t="s">
        <v>12</v>
      </c>
      <c r="E30" s="189">
        <f>H10</f>
        <v>213</v>
      </c>
    </row>
    <row r="31" spans="1:7">
      <c r="A31" s="3"/>
      <c r="B31" s="3"/>
      <c r="C31" s="3"/>
      <c r="D31" s="34"/>
      <c r="E31" s="34"/>
    </row>
    <row r="32" spans="1:7">
      <c r="A32" s="3"/>
      <c r="B32" s="3"/>
      <c r="C32" s="3"/>
      <c r="D32" s="3"/>
      <c r="E32" s="3"/>
    </row>
    <row r="33" spans="1:10" ht="30" customHeight="1">
      <c r="A33" s="3"/>
      <c r="B33" s="34"/>
      <c r="C33" s="34"/>
      <c r="D33" s="34"/>
      <c r="E33" s="34"/>
    </row>
    <row r="34" spans="1:10" ht="85.95" customHeight="1">
      <c r="A34" s="633" t="s">
        <v>471</v>
      </c>
      <c r="B34" s="633"/>
      <c r="C34" s="3"/>
      <c r="D34" s="115" t="s">
        <v>472</v>
      </c>
      <c r="E34" s="42"/>
      <c r="F34" s="167" t="s">
        <v>199</v>
      </c>
      <c r="H34" s="167" t="s">
        <v>197</v>
      </c>
      <c r="I34" s="3"/>
      <c r="J34" s="167" t="s">
        <v>198</v>
      </c>
    </row>
    <row r="35" spans="1:10" ht="30" customHeight="1">
      <c r="A35" s="627"/>
      <c r="B35" s="118" t="s">
        <v>418</v>
      </c>
      <c r="C35" s="3"/>
      <c r="D35" s="118" t="s">
        <v>418</v>
      </c>
      <c r="E35" s="3"/>
      <c r="F35" s="172" t="s">
        <v>418</v>
      </c>
      <c r="H35" s="172" t="s">
        <v>331</v>
      </c>
      <c r="I35" s="3"/>
      <c r="J35" s="172" t="s">
        <v>157</v>
      </c>
    </row>
    <row r="36" spans="1:10" ht="28.05" customHeight="1">
      <c r="A36" s="627"/>
      <c r="B36" s="118" t="s">
        <v>147</v>
      </c>
      <c r="C36" s="3"/>
      <c r="D36" s="151">
        <f>E3/(IMF!$C$43*IMF!$D$43*IMF!$E$43)</f>
        <v>25848.441140592651</v>
      </c>
      <c r="E36" s="3"/>
      <c r="F36" s="168">
        <f>IMF!J43/(IMF!$C$43*IMF!$D$43*IMF!$E$43)</f>
        <v>44876183190.370003</v>
      </c>
      <c r="H36" s="168">
        <f>IMF!I43/(IMF!$C$43*IMF!$D$43)</f>
        <v>45990125280.001213</v>
      </c>
      <c r="I36" s="3"/>
      <c r="J36" s="168">
        <f>IMF!H43/(IMF!$C$43)</f>
        <v>44697077084.455536</v>
      </c>
    </row>
    <row r="37" spans="1:10" ht="36" customHeight="1">
      <c r="A37" s="118" t="s">
        <v>11</v>
      </c>
      <c r="B37" s="151">
        <f>B28/(IMF!$C$43*IMF!$D$43*IMF!$E$43)</f>
        <v>25928663.030954193</v>
      </c>
      <c r="C37" s="3"/>
      <c r="D37" s="3"/>
      <c r="E37" s="3"/>
      <c r="F37" s="3"/>
      <c r="G37" s="3"/>
      <c r="H37" s="3"/>
    </row>
    <row r="38" spans="1:10" ht="30" customHeight="1">
      <c r="A38" s="118" t="s">
        <v>14</v>
      </c>
      <c r="B38" s="151">
        <f>B29/(IMF!$C$43*IMF!$D$43*IMF!$E$43)</f>
        <v>9669376.0058759339</v>
      </c>
      <c r="C38" s="3"/>
      <c r="D38" s="3"/>
      <c r="E38" s="3"/>
      <c r="F38" s="3"/>
      <c r="G38" s="3"/>
      <c r="H38" s="3"/>
    </row>
    <row r="39" spans="1:10" ht="42" customHeight="1">
      <c r="A39" s="118" t="s">
        <v>12</v>
      </c>
      <c r="B39" s="151">
        <f>B30/(IMF!$C$43*IMF!$D$43*IMF!$E$43)</f>
        <v>1158767.6671246348</v>
      </c>
      <c r="C39" s="3"/>
      <c r="D39" s="3"/>
      <c r="E39" s="3"/>
      <c r="F39" s="3"/>
      <c r="G39" s="3"/>
      <c r="H39" s="3"/>
    </row>
  </sheetData>
  <mergeCells count="12">
    <mergeCell ref="A35:A36"/>
    <mergeCell ref="A25:B25"/>
    <mergeCell ref="D25:E25"/>
    <mergeCell ref="A26:B26"/>
    <mergeCell ref="D26:E26"/>
    <mergeCell ref="A34:B34"/>
    <mergeCell ref="A2:B2"/>
    <mergeCell ref="D2:E2"/>
    <mergeCell ref="A3:B3"/>
    <mergeCell ref="G2:H2"/>
    <mergeCell ref="A17:C17"/>
    <mergeCell ref="E17:G1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A56A5-EE61-0347-9F1A-118590E2F08F}">
  <dimension ref="A2:E23"/>
  <sheetViews>
    <sheetView zoomScale="80" zoomScaleNormal="80" workbookViewId="0">
      <selection activeCell="E24" sqref="E24"/>
    </sheetView>
  </sheetViews>
  <sheetFormatPr defaultColWidth="11.19921875" defaultRowHeight="15.6"/>
  <cols>
    <col min="1" max="1" width="19.19921875" customWidth="1"/>
    <col min="2" max="2" width="35.19921875" customWidth="1"/>
    <col min="3" max="3" width="28" customWidth="1"/>
    <col min="4" max="4" width="25.19921875" customWidth="1"/>
    <col min="5" max="5" width="19.5" customWidth="1"/>
  </cols>
  <sheetData>
    <row r="2" spans="1:5" ht="16.05" customHeight="1">
      <c r="A2" s="612" t="s">
        <v>155</v>
      </c>
      <c r="B2" s="612"/>
      <c r="C2" s="174"/>
      <c r="D2" s="637" t="s">
        <v>519</v>
      </c>
      <c r="E2" s="637"/>
    </row>
    <row r="3" spans="1:5" ht="36" customHeight="1">
      <c r="A3" s="612" t="s">
        <v>378</v>
      </c>
      <c r="B3" s="612"/>
      <c r="C3" s="174"/>
      <c r="D3" s="163" t="s">
        <v>474</v>
      </c>
      <c r="E3" s="229">
        <v>10</v>
      </c>
    </row>
    <row r="4" spans="1:5" s="287" customFormat="1">
      <c r="A4" s="288" t="s">
        <v>550</v>
      </c>
      <c r="B4" s="288" t="s">
        <v>551</v>
      </c>
      <c r="C4" s="44"/>
    </row>
    <row r="5" spans="1:5">
      <c r="A5" s="131">
        <v>20</v>
      </c>
      <c r="B5" s="131">
        <v>679060</v>
      </c>
      <c r="C5" s="44"/>
    </row>
    <row r="6" spans="1:5">
      <c r="A6" s="131">
        <v>42</v>
      </c>
      <c r="B6" s="131">
        <v>532154</v>
      </c>
      <c r="C6" s="44"/>
    </row>
    <row r="7" spans="1:5">
      <c r="A7" s="131">
        <v>51</v>
      </c>
      <c r="B7" s="131">
        <v>438508</v>
      </c>
      <c r="C7" s="44"/>
    </row>
    <row r="8" spans="1:5">
      <c r="A8" s="131">
        <v>59</v>
      </c>
      <c r="B8" s="131">
        <v>331557</v>
      </c>
      <c r="C8" s="44"/>
    </row>
    <row r="9" spans="1:5">
      <c r="A9" s="131">
        <v>59</v>
      </c>
      <c r="B9" s="131">
        <v>331557</v>
      </c>
      <c r="C9" s="44"/>
    </row>
    <row r="10" spans="1:5">
      <c r="A10" s="131">
        <v>63</v>
      </c>
      <c r="B10" s="131">
        <v>267815</v>
      </c>
    </row>
    <row r="11" spans="1:5">
      <c r="A11" s="131">
        <v>63</v>
      </c>
      <c r="B11" s="131">
        <v>267815</v>
      </c>
    </row>
    <row r="12" spans="1:5">
      <c r="A12" s="131">
        <v>69</v>
      </c>
      <c r="B12" s="131">
        <v>156894</v>
      </c>
    </row>
    <row r="13" spans="1:5" s="287" customFormat="1">
      <c r="A13" s="131">
        <v>71</v>
      </c>
      <c r="B13" s="131">
        <v>115329</v>
      </c>
    </row>
    <row r="14" spans="1:5" ht="16.2" customHeight="1">
      <c r="A14" s="288">
        <v>76</v>
      </c>
      <c r="B14" s="288">
        <v>0</v>
      </c>
    </row>
    <row r="15" spans="1:5">
      <c r="A15" s="279"/>
    </row>
    <row r="18" spans="1:2">
      <c r="A18" s="612" t="s">
        <v>324</v>
      </c>
      <c r="B18" s="612"/>
    </row>
    <row r="19" spans="1:2">
      <c r="A19" s="612" t="s">
        <v>465</v>
      </c>
      <c r="B19" s="612"/>
    </row>
    <row r="20" spans="1:2">
      <c r="A20" s="131"/>
      <c r="B20" s="131" t="s">
        <v>13</v>
      </c>
    </row>
    <row r="21" spans="1:2">
      <c r="A21" s="131" t="s">
        <v>11</v>
      </c>
      <c r="B21" s="131">
        <f>B5</f>
        <v>679060</v>
      </c>
    </row>
    <row r="22" spans="1:2">
      <c r="A22" s="131" t="s">
        <v>14</v>
      </c>
      <c r="B22" s="131">
        <f>SUM(B6:B9)</f>
        <v>1633776</v>
      </c>
    </row>
    <row r="23" spans="1:2">
      <c r="A23" s="131" t="s">
        <v>12</v>
      </c>
      <c r="B23" s="131">
        <f>SUM(B10:B13)</f>
        <v>807853</v>
      </c>
    </row>
  </sheetData>
  <mergeCells count="5">
    <mergeCell ref="D2:E2"/>
    <mergeCell ref="A2:B2"/>
    <mergeCell ref="A3:B3"/>
    <mergeCell ref="A18:B18"/>
    <mergeCell ref="A19:B19"/>
  </mergeCells>
  <pageMargins left="0.7" right="0.7" top="0.75" bottom="0.75" header="0.3" footer="0.3"/>
  <ignoredErrors>
    <ignoredError sqref="B22:B23" formulaRange="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9B5E-355D-014D-8209-66B3793D6037}">
  <dimension ref="A2:G11"/>
  <sheetViews>
    <sheetView zoomScale="80" zoomScaleNormal="80" workbookViewId="0">
      <selection activeCell="E13" sqref="E13"/>
    </sheetView>
  </sheetViews>
  <sheetFormatPr defaultColWidth="11.19921875" defaultRowHeight="15.6"/>
  <cols>
    <col min="1" max="1" width="32.5" customWidth="1"/>
    <col min="2" max="2" width="25" customWidth="1"/>
    <col min="3" max="3" width="31" customWidth="1"/>
    <col min="5" max="5" width="34.296875" customWidth="1"/>
    <col min="6" max="6" width="21.5" customWidth="1"/>
    <col min="7" max="7" width="26" customWidth="1"/>
  </cols>
  <sheetData>
    <row r="2" spans="1:7" ht="16.05" customHeight="1">
      <c r="A2" s="633" t="s">
        <v>155</v>
      </c>
      <c r="B2" s="633"/>
      <c r="C2" s="633"/>
      <c r="E2" s="634" t="s">
        <v>155</v>
      </c>
      <c r="F2" s="634"/>
      <c r="G2" s="634"/>
    </row>
    <row r="3" spans="1:7" ht="48" customHeight="1">
      <c r="A3" s="217"/>
      <c r="B3" s="115">
        <v>2020</v>
      </c>
      <c r="C3" s="118">
        <v>2021</v>
      </c>
      <c r="E3" s="218"/>
      <c r="F3" s="175">
        <v>2020</v>
      </c>
      <c r="G3" s="162">
        <v>2021</v>
      </c>
    </row>
    <row r="4" spans="1:7" ht="46.05" customHeight="1">
      <c r="A4" s="115" t="s">
        <v>480</v>
      </c>
      <c r="B4" s="151">
        <v>19996593</v>
      </c>
      <c r="C4" s="151">
        <v>98627334</v>
      </c>
      <c r="E4" s="175" t="s">
        <v>481</v>
      </c>
      <c r="F4" s="161">
        <v>55955080</v>
      </c>
      <c r="G4" s="161">
        <v>31436603</v>
      </c>
    </row>
    <row r="5" spans="1:7" ht="52.95" customHeight="1"/>
    <row r="9" spans="1:7" ht="69" customHeight="1">
      <c r="A9" s="115" t="s">
        <v>478</v>
      </c>
      <c r="B9" s="2"/>
      <c r="C9" s="175" t="s">
        <v>479</v>
      </c>
      <c r="E9" s="167" t="s">
        <v>198</v>
      </c>
      <c r="F9" s="2"/>
      <c r="G9" s="2"/>
    </row>
    <row r="10" spans="1:7" ht="24" customHeight="1">
      <c r="A10" s="115" t="s">
        <v>157</v>
      </c>
      <c r="C10" s="175" t="s">
        <v>157</v>
      </c>
      <c r="E10" s="172" t="s">
        <v>157</v>
      </c>
      <c r="G10" s="2"/>
    </row>
    <row r="11" spans="1:7" ht="49.95" customHeight="1">
      <c r="A11" s="151">
        <f>C4/IMF!C77</f>
        <v>94215234.565306693</v>
      </c>
      <c r="C11" s="161">
        <f>G4/IMF!C77</f>
        <v>30030284.764479432</v>
      </c>
      <c r="E11" s="168">
        <f>IMF!H77/IMF!C77</f>
        <v>22272073784664.18</v>
      </c>
      <c r="G11" s="34"/>
    </row>
  </sheetData>
  <mergeCells count="2">
    <mergeCell ref="A2:C2"/>
    <mergeCell ref="E2:G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3FF5-819B-1D4F-9A7A-8175F850050B}">
  <dimension ref="A1:M26"/>
  <sheetViews>
    <sheetView zoomScale="80" zoomScaleNormal="80" workbookViewId="0">
      <selection activeCell="H24" sqref="H24"/>
    </sheetView>
  </sheetViews>
  <sheetFormatPr defaultColWidth="11.19921875" defaultRowHeight="15.6"/>
  <cols>
    <col min="1" max="1" width="19.796875" customWidth="1"/>
    <col min="2" max="2" width="36.5" customWidth="1"/>
    <col min="4" max="4" width="20.796875" customWidth="1"/>
    <col min="5" max="5" width="25.19921875" customWidth="1"/>
    <col min="6" max="6" width="14.5" customWidth="1"/>
    <col min="7" max="7" width="16.19921875" customWidth="1"/>
    <col min="8" max="8" width="22.296875" customWidth="1"/>
    <col min="9" max="9" width="10.69921875" customWidth="1"/>
    <col min="10" max="10" width="14.69921875" customWidth="1"/>
    <col min="11" max="11" width="27.19921875" customWidth="1"/>
  </cols>
  <sheetData>
    <row r="1" spans="1:13">
      <c r="A1" s="48"/>
      <c r="B1" s="48"/>
      <c r="C1" s="48"/>
      <c r="D1" s="48"/>
      <c r="E1" s="48"/>
      <c r="F1" s="48"/>
      <c r="G1" s="48"/>
      <c r="H1" s="48"/>
      <c r="I1" s="48"/>
      <c r="J1" s="48"/>
      <c r="K1" s="48"/>
      <c r="L1" s="48"/>
      <c r="M1" s="48"/>
    </row>
    <row r="2" spans="1:13">
      <c r="A2" s="612" t="s">
        <v>155</v>
      </c>
      <c r="B2" s="612"/>
      <c r="D2" s="636" t="s">
        <v>155</v>
      </c>
      <c r="E2" s="636"/>
      <c r="G2" s="652" t="s">
        <v>155</v>
      </c>
      <c r="H2" s="652"/>
      <c r="J2" s="652" t="s">
        <v>155</v>
      </c>
      <c r="K2" s="652"/>
      <c r="L2" s="48"/>
      <c r="M2" s="48"/>
    </row>
    <row r="3" spans="1:13" ht="46.95" customHeight="1">
      <c r="A3" s="612" t="s">
        <v>378</v>
      </c>
      <c r="B3" s="612"/>
      <c r="D3" s="636" t="s">
        <v>434</v>
      </c>
      <c r="E3" s="636"/>
      <c r="G3" s="652" t="s">
        <v>482</v>
      </c>
      <c r="H3" s="652"/>
      <c r="J3" s="652" t="s">
        <v>483</v>
      </c>
      <c r="K3" s="652"/>
      <c r="L3" s="48"/>
      <c r="M3" s="48"/>
    </row>
    <row r="4" spans="1:13" ht="30" customHeight="1">
      <c r="A4" s="131" t="s">
        <v>366</v>
      </c>
      <c r="B4" s="131">
        <v>1588937.3</v>
      </c>
      <c r="D4" s="160" t="s">
        <v>366</v>
      </c>
      <c r="E4" s="160">
        <v>8320085.5999999996</v>
      </c>
      <c r="G4" s="90" t="s">
        <v>366</v>
      </c>
      <c r="H4" s="90">
        <v>8</v>
      </c>
      <c r="J4" s="90" t="s">
        <v>366</v>
      </c>
      <c r="K4" s="90">
        <v>10369</v>
      </c>
      <c r="L4" s="48"/>
      <c r="M4" s="48"/>
    </row>
    <row r="5" spans="1:13" ht="30" customHeight="1">
      <c r="A5" s="173" t="s">
        <v>367</v>
      </c>
      <c r="B5" s="192">
        <v>9825261.9499999993</v>
      </c>
      <c r="D5" s="197" t="s">
        <v>367</v>
      </c>
      <c r="E5" s="198">
        <v>13657473.6</v>
      </c>
      <c r="G5" s="186" t="s">
        <v>367</v>
      </c>
      <c r="H5" s="199">
        <v>49</v>
      </c>
      <c r="J5" s="186" t="s">
        <v>367</v>
      </c>
      <c r="K5" s="199">
        <v>14858</v>
      </c>
      <c r="L5" s="48"/>
      <c r="M5" s="48"/>
    </row>
    <row r="6" spans="1:13" ht="30" customHeight="1">
      <c r="A6" s="173" t="s">
        <v>337</v>
      </c>
      <c r="B6" s="131">
        <v>36783568.100000001</v>
      </c>
      <c r="D6" s="197" t="s">
        <v>337</v>
      </c>
      <c r="E6" s="160">
        <v>23366064</v>
      </c>
      <c r="G6" s="186" t="s">
        <v>337</v>
      </c>
      <c r="H6" s="90">
        <v>224</v>
      </c>
      <c r="J6" s="186" t="s">
        <v>337</v>
      </c>
      <c r="K6" s="90">
        <v>25420</v>
      </c>
      <c r="L6" s="48"/>
      <c r="M6" s="48"/>
    </row>
    <row r="7" spans="1:13" ht="30" customHeight="1">
      <c r="A7" s="173" t="s">
        <v>338</v>
      </c>
      <c r="B7" s="131">
        <v>110938945.8</v>
      </c>
      <c r="D7" s="197" t="s">
        <v>338</v>
      </c>
      <c r="E7" s="160">
        <v>33749443.200000003</v>
      </c>
      <c r="G7" s="186" t="s">
        <v>338</v>
      </c>
      <c r="H7" s="90">
        <v>918</v>
      </c>
      <c r="J7" s="186" t="s">
        <v>338</v>
      </c>
      <c r="K7" s="90">
        <v>35068</v>
      </c>
      <c r="L7" s="48"/>
      <c r="M7" s="48"/>
    </row>
    <row r="8" spans="1:13" ht="24" customHeight="1">
      <c r="A8" s="131" t="s">
        <v>368</v>
      </c>
      <c r="B8" s="131">
        <v>142347805</v>
      </c>
      <c r="D8" s="160" t="s">
        <v>368</v>
      </c>
      <c r="E8" s="160">
        <v>24207247.199999999</v>
      </c>
      <c r="G8" s="90" t="s">
        <v>368</v>
      </c>
      <c r="H8" s="90">
        <v>2727</v>
      </c>
      <c r="J8" s="90" t="s">
        <v>368</v>
      </c>
      <c r="K8" s="90">
        <v>25153</v>
      </c>
      <c r="L8" s="48"/>
      <c r="M8" s="48"/>
    </row>
    <row r="9" spans="1:13">
      <c r="L9" s="49"/>
      <c r="M9" s="49"/>
    </row>
    <row r="10" spans="1:13">
      <c r="L10" s="49"/>
      <c r="M10" s="49"/>
    </row>
    <row r="11" spans="1:13" ht="64.95" customHeight="1">
      <c r="L11" s="49"/>
      <c r="M11" s="49"/>
    </row>
    <row r="12" spans="1:13" ht="30" customHeight="1">
      <c r="A12" s="612" t="s">
        <v>324</v>
      </c>
      <c r="B12" s="612"/>
      <c r="D12" s="636" t="s">
        <v>324</v>
      </c>
      <c r="E12" s="636"/>
      <c r="G12" s="652" t="s">
        <v>324</v>
      </c>
      <c r="H12" s="652"/>
      <c r="J12" s="652" t="s">
        <v>324</v>
      </c>
      <c r="K12" s="652"/>
      <c r="L12" s="49"/>
      <c r="M12" s="49"/>
    </row>
    <row r="13" spans="1:13" ht="30" customHeight="1">
      <c r="A13" s="612" t="s">
        <v>465</v>
      </c>
      <c r="B13" s="612"/>
      <c r="D13" s="636" t="s">
        <v>465</v>
      </c>
      <c r="E13" s="636"/>
      <c r="G13" s="652" t="s">
        <v>474</v>
      </c>
      <c r="H13" s="652"/>
      <c r="J13" s="652" t="s">
        <v>475</v>
      </c>
      <c r="K13" s="652"/>
      <c r="L13" s="48"/>
      <c r="M13" s="48"/>
    </row>
    <row r="14" spans="1:13" ht="30" customHeight="1">
      <c r="A14" s="131"/>
      <c r="B14" s="131" t="s">
        <v>13</v>
      </c>
      <c r="D14" s="160"/>
      <c r="E14" s="160" t="s">
        <v>13</v>
      </c>
      <c r="G14" s="90"/>
      <c r="H14" s="90" t="s">
        <v>13</v>
      </c>
      <c r="J14" s="90"/>
      <c r="K14" s="90" t="s">
        <v>13</v>
      </c>
      <c r="L14" s="48"/>
      <c r="M14" s="48"/>
    </row>
    <row r="15" spans="1:13" ht="30" customHeight="1">
      <c r="A15" s="131" t="s">
        <v>11</v>
      </c>
      <c r="B15" s="131">
        <f>SUM(B4:B5)</f>
        <v>11414199.25</v>
      </c>
      <c r="D15" s="160" t="s">
        <v>11</v>
      </c>
      <c r="E15" s="160">
        <f>SUM(E4:E5)</f>
        <v>21977559.199999999</v>
      </c>
      <c r="G15" s="90" t="s">
        <v>11</v>
      </c>
      <c r="H15" s="200">
        <f>SUM(H4:H5)</f>
        <v>57</v>
      </c>
      <c r="J15" s="90" t="s">
        <v>11</v>
      </c>
      <c r="K15" s="200">
        <f>SUM(K4:K5)</f>
        <v>25227</v>
      </c>
      <c r="L15" s="48"/>
      <c r="M15" s="48"/>
    </row>
    <row r="16" spans="1:13" ht="30" customHeight="1">
      <c r="A16" s="131" t="s">
        <v>14</v>
      </c>
      <c r="B16" s="131">
        <f>SUM(B6:B7)</f>
        <v>147722513.90000001</v>
      </c>
      <c r="D16" s="160" t="s">
        <v>14</v>
      </c>
      <c r="E16" s="160">
        <f>SUM(E6:E7)</f>
        <v>57115507.200000003</v>
      </c>
      <c r="G16" s="90" t="s">
        <v>14</v>
      </c>
      <c r="H16" s="200">
        <f>SUM(H6:H7)</f>
        <v>1142</v>
      </c>
      <c r="J16" s="90" t="s">
        <v>14</v>
      </c>
      <c r="K16" s="200">
        <f>SUM(K6:K7)</f>
        <v>60488</v>
      </c>
      <c r="L16" s="48"/>
      <c r="M16" s="48"/>
    </row>
    <row r="17" spans="1:13" ht="30" customHeight="1">
      <c r="A17" s="131" t="s">
        <v>12</v>
      </c>
      <c r="B17" s="131">
        <f>B8</f>
        <v>142347805</v>
      </c>
      <c r="D17" s="160" t="s">
        <v>12</v>
      </c>
      <c r="E17" s="160">
        <f>E8</f>
        <v>24207247.199999999</v>
      </c>
      <c r="G17" s="90" t="s">
        <v>12</v>
      </c>
      <c r="H17" s="200">
        <f>H8</f>
        <v>2727</v>
      </c>
      <c r="J17" s="90" t="s">
        <v>12</v>
      </c>
      <c r="K17" s="200">
        <f>K8</f>
        <v>25153</v>
      </c>
      <c r="L17" s="48"/>
      <c r="M17" s="48"/>
    </row>
    <row r="18" spans="1:13" ht="30" customHeight="1">
      <c r="L18" s="48"/>
      <c r="M18" s="48"/>
    </row>
    <row r="19" spans="1:13" ht="30" customHeight="1">
      <c r="L19" s="48"/>
      <c r="M19" s="48"/>
    </row>
    <row r="20" spans="1:13" ht="30" customHeight="1">
      <c r="L20" s="48"/>
      <c r="M20" s="48"/>
    </row>
    <row r="21" spans="1:13">
      <c r="A21" s="612" t="s">
        <v>304</v>
      </c>
      <c r="B21" s="612"/>
      <c r="D21" s="636" t="s">
        <v>304</v>
      </c>
      <c r="E21" s="636"/>
    </row>
    <row r="22" spans="1:13">
      <c r="A22" s="612" t="s">
        <v>465</v>
      </c>
      <c r="B22" s="612"/>
      <c r="D22" s="636" t="s">
        <v>465</v>
      </c>
      <c r="E22" s="636"/>
    </row>
    <row r="23" spans="1:13">
      <c r="A23" s="131"/>
      <c r="B23" s="131" t="s">
        <v>13</v>
      </c>
      <c r="D23" s="160"/>
      <c r="E23" s="160" t="s">
        <v>13</v>
      </c>
    </row>
    <row r="24" spans="1:13">
      <c r="A24" s="131" t="s">
        <v>11</v>
      </c>
      <c r="B24" s="131">
        <f>B15/IMF!$F$37</f>
        <v>16935013.724035606</v>
      </c>
      <c r="D24" s="160" t="s">
        <v>11</v>
      </c>
      <c r="E24" s="160">
        <f>E15/IMF!$F$37</f>
        <v>32607654.599406525</v>
      </c>
    </row>
    <row r="25" spans="1:13">
      <c r="A25" s="131" t="s">
        <v>14</v>
      </c>
      <c r="B25" s="131">
        <f>B16/IMF!$F$37</f>
        <v>219172869.28783381</v>
      </c>
      <c r="D25" s="160" t="s">
        <v>14</v>
      </c>
      <c r="E25" s="160">
        <f>E16/IMF!$F$37</f>
        <v>84741108.605341241</v>
      </c>
    </row>
    <row r="26" spans="1:13">
      <c r="A26" s="131" t="s">
        <v>12</v>
      </c>
      <c r="B26" s="131">
        <f>B17/IMF!$F$37</f>
        <v>211198523.73887238</v>
      </c>
      <c r="D26" s="160" t="s">
        <v>12</v>
      </c>
      <c r="E26" s="160">
        <f>E17/IMF!$F$37</f>
        <v>35915797.032640949</v>
      </c>
    </row>
  </sheetData>
  <mergeCells count="20">
    <mergeCell ref="J2:K2"/>
    <mergeCell ref="J3:K3"/>
    <mergeCell ref="A12:B12"/>
    <mergeCell ref="A13:B13"/>
    <mergeCell ref="D12:E12"/>
    <mergeCell ref="D13:E13"/>
    <mergeCell ref="G12:H12"/>
    <mergeCell ref="G13:H13"/>
    <mergeCell ref="J12:K12"/>
    <mergeCell ref="J13:K13"/>
    <mergeCell ref="A2:B2"/>
    <mergeCell ref="A3:B3"/>
    <mergeCell ref="D2:E2"/>
    <mergeCell ref="D3:E3"/>
    <mergeCell ref="G2:H2"/>
    <mergeCell ref="A21:B21"/>
    <mergeCell ref="A22:B22"/>
    <mergeCell ref="D21:E21"/>
    <mergeCell ref="D22:E22"/>
    <mergeCell ref="G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234D-A331-6149-96F8-1DC139D97886}">
  <dimension ref="A1:N39"/>
  <sheetViews>
    <sheetView zoomScale="80" zoomScaleNormal="80" workbookViewId="0">
      <selection activeCell="E35" sqref="E35"/>
    </sheetView>
  </sheetViews>
  <sheetFormatPr defaultColWidth="10.796875" defaultRowHeight="15.6"/>
  <cols>
    <col min="1" max="1" width="29.796875" style="23" customWidth="1"/>
    <col min="2" max="2" width="23.5" style="23" customWidth="1"/>
    <col min="3" max="3" width="16.69921875" style="23" customWidth="1"/>
    <col min="4" max="4" width="15.69921875" style="23" customWidth="1"/>
    <col min="5" max="5" width="29.296875" style="23" customWidth="1"/>
    <col min="6" max="6" width="21.296875" style="23" customWidth="1"/>
    <col min="7" max="7" width="18.69921875" style="23" customWidth="1"/>
    <col min="8" max="8" width="17.296875" style="23" customWidth="1"/>
    <col min="9" max="9" width="10.796875" style="23"/>
    <col min="10" max="10" width="26.296875" style="23" customWidth="1"/>
    <col min="11" max="11" width="10.796875" style="23"/>
    <col min="12" max="12" width="18.296875" style="23" customWidth="1"/>
    <col min="13" max="13" width="10.796875" style="23"/>
    <col min="14" max="14" width="25.5" style="23" customWidth="1"/>
    <col min="15" max="15" width="10.796875" style="23"/>
    <col min="16" max="16" width="22.5" style="23" customWidth="1"/>
    <col min="17" max="16384" width="10.796875" style="23"/>
  </cols>
  <sheetData>
    <row r="1" spans="1:11" ht="16.05" customHeight="1">
      <c r="A1" s="48"/>
      <c r="B1" s="48"/>
      <c r="C1" s="48"/>
      <c r="D1" s="48"/>
      <c r="E1" s="48"/>
      <c r="F1" s="48"/>
      <c r="G1" s="48"/>
      <c r="H1" s="48"/>
      <c r="I1" s="48"/>
      <c r="J1" s="48"/>
      <c r="K1" s="48"/>
    </row>
    <row r="2" spans="1:11">
      <c r="A2" s="612" t="s">
        <v>155</v>
      </c>
      <c r="B2" s="612"/>
      <c r="C2"/>
      <c r="D2" s="652" t="s">
        <v>155</v>
      </c>
      <c r="E2" s="652"/>
      <c r="F2"/>
      <c r="I2"/>
      <c r="J2" s="174"/>
      <c r="K2" s="174"/>
    </row>
    <row r="3" spans="1:11" ht="22.05" customHeight="1">
      <c r="A3" s="612" t="s">
        <v>371</v>
      </c>
      <c r="B3" s="612"/>
      <c r="C3"/>
      <c r="D3" s="652" t="s">
        <v>482</v>
      </c>
      <c r="E3" s="652"/>
      <c r="F3"/>
      <c r="I3"/>
      <c r="J3" s="174"/>
      <c r="K3" s="174"/>
    </row>
    <row r="4" spans="1:11">
      <c r="A4" s="173" t="s">
        <v>421</v>
      </c>
      <c r="B4" s="131">
        <v>1947</v>
      </c>
      <c r="C4"/>
      <c r="D4" s="186" t="s">
        <v>421</v>
      </c>
      <c r="E4" s="200">
        <v>2</v>
      </c>
      <c r="F4"/>
      <c r="I4"/>
      <c r="J4" s="44"/>
      <c r="K4" s="44"/>
    </row>
    <row r="5" spans="1:11" ht="34.049999999999997" customHeight="1">
      <c r="A5" s="173" t="s">
        <v>422</v>
      </c>
      <c r="B5" s="192">
        <v>12005701</v>
      </c>
      <c r="C5"/>
      <c r="D5" s="186" t="s">
        <v>422</v>
      </c>
      <c r="E5" s="203">
        <v>18</v>
      </c>
      <c r="F5"/>
      <c r="I5"/>
      <c r="J5" s="201"/>
      <c r="K5" s="202"/>
    </row>
    <row r="6" spans="1:11" ht="37.049999999999997" customHeight="1">
      <c r="A6" s="173" t="s">
        <v>423</v>
      </c>
      <c r="B6" s="131">
        <v>40029583</v>
      </c>
      <c r="C6"/>
      <c r="D6" s="186" t="s">
        <v>423</v>
      </c>
      <c r="E6" s="200">
        <v>21</v>
      </c>
      <c r="F6"/>
      <c r="I6"/>
      <c r="J6" s="201"/>
      <c r="K6" s="44"/>
    </row>
    <row r="7" spans="1:11">
      <c r="A7" s="173" t="s">
        <v>424</v>
      </c>
      <c r="B7" s="131">
        <v>51294661</v>
      </c>
      <c r="C7"/>
      <c r="D7" s="186" t="s">
        <v>424</v>
      </c>
      <c r="E7" s="200">
        <v>40</v>
      </c>
      <c r="F7"/>
      <c r="I7"/>
      <c r="J7" s="201"/>
      <c r="K7" s="44"/>
    </row>
    <row r="8" spans="1:11">
      <c r="A8" s="131" t="s">
        <v>425</v>
      </c>
      <c r="B8" s="131">
        <v>73461602</v>
      </c>
      <c r="C8"/>
      <c r="D8" s="90" t="s">
        <v>425</v>
      </c>
      <c r="E8" s="200">
        <v>64</v>
      </c>
      <c r="F8"/>
      <c r="I8"/>
      <c r="J8" s="44"/>
      <c r="K8" s="44"/>
    </row>
    <row r="9" spans="1:11">
      <c r="A9" s="131" t="s">
        <v>426</v>
      </c>
      <c r="B9" s="131">
        <v>84372163</v>
      </c>
      <c r="C9"/>
      <c r="D9" s="90" t="s">
        <v>426</v>
      </c>
      <c r="E9" s="200">
        <v>89</v>
      </c>
      <c r="F9"/>
      <c r="G9"/>
      <c r="H9"/>
      <c r="I9"/>
      <c r="J9"/>
      <c r="K9"/>
    </row>
    <row r="10" spans="1:11">
      <c r="A10" s="131" t="s">
        <v>427</v>
      </c>
      <c r="B10" s="131">
        <v>171212509</v>
      </c>
      <c r="C10"/>
      <c r="D10" s="90" t="s">
        <v>427</v>
      </c>
      <c r="E10" s="200">
        <v>178</v>
      </c>
      <c r="F10"/>
      <c r="G10"/>
      <c r="H10"/>
      <c r="I10"/>
      <c r="J10"/>
      <c r="K10"/>
    </row>
    <row r="11" spans="1:11">
      <c r="A11" s="131" t="s">
        <v>428</v>
      </c>
      <c r="B11" s="131">
        <v>95396448</v>
      </c>
      <c r="C11"/>
      <c r="D11" s="90" t="s">
        <v>428</v>
      </c>
      <c r="E11" s="200">
        <v>224</v>
      </c>
      <c r="F11"/>
      <c r="G11"/>
      <c r="H11"/>
      <c r="I11"/>
      <c r="J11"/>
      <c r="K11"/>
    </row>
    <row r="12" spans="1:11">
      <c r="A12" s="131" t="s">
        <v>429</v>
      </c>
      <c r="B12" s="131">
        <v>62865913</v>
      </c>
      <c r="C12"/>
      <c r="D12" s="90" t="s">
        <v>429</v>
      </c>
      <c r="E12" s="200">
        <v>272</v>
      </c>
      <c r="F12"/>
      <c r="G12"/>
      <c r="H12"/>
      <c r="I12"/>
      <c r="J12"/>
      <c r="K12"/>
    </row>
    <row r="13" spans="1:11">
      <c r="A13"/>
      <c r="B13"/>
      <c r="C13"/>
      <c r="D13"/>
      <c r="E13"/>
      <c r="F13"/>
      <c r="G13"/>
      <c r="H13"/>
      <c r="I13"/>
      <c r="J13"/>
      <c r="K13"/>
    </row>
    <row r="14" spans="1:11">
      <c r="A14"/>
      <c r="B14"/>
      <c r="C14"/>
      <c r="D14"/>
      <c r="E14"/>
      <c r="F14"/>
      <c r="G14"/>
      <c r="H14"/>
      <c r="I14"/>
      <c r="J14"/>
      <c r="K14"/>
    </row>
    <row r="15" spans="1:11">
      <c r="A15"/>
      <c r="B15"/>
      <c r="C15"/>
      <c r="D15"/>
      <c r="E15"/>
      <c r="F15"/>
      <c r="G15"/>
      <c r="H15"/>
      <c r="I15"/>
      <c r="J15"/>
      <c r="K15"/>
    </row>
    <row r="16" spans="1:11">
      <c r="A16" s="226"/>
      <c r="B16" s="226"/>
      <c r="C16" s="226"/>
      <c r="D16" s="226"/>
      <c r="E16" s="226"/>
      <c r="F16" s="226"/>
      <c r="G16" s="226"/>
      <c r="H16" s="226"/>
      <c r="I16" s="226"/>
      <c r="J16" s="226"/>
      <c r="K16" s="226"/>
    </row>
    <row r="17" spans="1:14">
      <c r="A17"/>
      <c r="B17"/>
      <c r="C17"/>
      <c r="D17"/>
      <c r="E17"/>
      <c r="F17"/>
      <c r="G17"/>
      <c r="H17"/>
      <c r="I17"/>
      <c r="J17"/>
      <c r="K17"/>
    </row>
    <row r="18" spans="1:14" ht="16.05" customHeight="1">
      <c r="A18" s="612" t="s">
        <v>465</v>
      </c>
      <c r="B18" s="612"/>
      <c r="C18" s="612"/>
      <c r="D18" s="612"/>
      <c r="E18" s="612"/>
      <c r="F18" s="612"/>
      <c r="G18" s="612"/>
      <c r="H18" s="652" t="s">
        <v>474</v>
      </c>
      <c r="I18" s="652"/>
      <c r="J18" s="652"/>
      <c r="K18" s="652"/>
      <c r="L18" s="652"/>
      <c r="M18" s="652"/>
      <c r="N18" s="652"/>
    </row>
    <row r="19" spans="1:14" ht="46.8">
      <c r="A19" s="131" t="s">
        <v>159</v>
      </c>
      <c r="B19" s="131" t="s">
        <v>115</v>
      </c>
      <c r="C19" s="131" t="s">
        <v>13</v>
      </c>
      <c r="D19" s="131"/>
      <c r="E19" s="131" t="s">
        <v>150</v>
      </c>
      <c r="F19" s="131" t="s">
        <v>116</v>
      </c>
      <c r="G19" s="131" t="s">
        <v>13</v>
      </c>
      <c r="H19" s="90" t="s">
        <v>159</v>
      </c>
      <c r="I19" s="90" t="s">
        <v>115</v>
      </c>
      <c r="J19" s="90" t="s">
        <v>13</v>
      </c>
      <c r="K19" s="90"/>
      <c r="L19" s="90" t="s">
        <v>150</v>
      </c>
      <c r="M19" s="90" t="s">
        <v>116</v>
      </c>
      <c r="N19" s="90" t="s">
        <v>13</v>
      </c>
    </row>
    <row r="20" spans="1:14" ht="31.2">
      <c r="A20" s="131" t="s">
        <v>149</v>
      </c>
      <c r="B20" s="131">
        <f>ROUND(5/6,2)</f>
        <v>0.83</v>
      </c>
      <c r="C20" s="131">
        <f>$B$8*B20</f>
        <v>60973129.659999996</v>
      </c>
      <c r="D20" s="131"/>
      <c r="E20" s="131" t="s">
        <v>149</v>
      </c>
      <c r="F20" s="131">
        <f>ROUND(5/6,2)</f>
        <v>0.83</v>
      </c>
      <c r="G20" s="131">
        <f>$B$12*F20</f>
        <v>52178707.789999999</v>
      </c>
      <c r="H20" s="90" t="s">
        <v>149</v>
      </c>
      <c r="I20" s="90">
        <f>ROUND(5/6,2)</f>
        <v>0.83</v>
      </c>
      <c r="J20" s="200">
        <f>ROUND($E$8*I20,0)</f>
        <v>53</v>
      </c>
      <c r="K20" s="90"/>
      <c r="L20" s="90" t="s">
        <v>149</v>
      </c>
      <c r="M20" s="90">
        <f>ROUND(5/6,2)</f>
        <v>0.83</v>
      </c>
      <c r="N20" s="200">
        <f>ROUND($E$12*M20,0)</f>
        <v>226</v>
      </c>
    </row>
    <row r="21" spans="1:14" ht="31.2">
      <c r="A21" s="131" t="s">
        <v>124</v>
      </c>
      <c r="B21" s="131">
        <f>1-B20</f>
        <v>0.17000000000000004</v>
      </c>
      <c r="C21" s="131">
        <f>$B$8*B21</f>
        <v>12488472.340000004</v>
      </c>
      <c r="D21" s="131"/>
      <c r="E21" s="131" t="s">
        <v>124</v>
      </c>
      <c r="F21" s="131">
        <f>1-F20</f>
        <v>0.17000000000000004</v>
      </c>
      <c r="G21" s="131">
        <f>$B$12*F21</f>
        <v>10687205.210000003</v>
      </c>
      <c r="H21" s="90" t="s">
        <v>124</v>
      </c>
      <c r="I21" s="90">
        <f>1-I20</f>
        <v>0.17000000000000004</v>
      </c>
      <c r="J21" s="200">
        <f>ROUND($E$8*I21,0)</f>
        <v>11</v>
      </c>
      <c r="K21" s="90"/>
      <c r="L21" s="90" t="s">
        <v>124</v>
      </c>
      <c r="M21" s="90">
        <f>1-M20</f>
        <v>0.17000000000000004</v>
      </c>
      <c r="N21" s="200">
        <f>ROUND($E$12*M21,0)</f>
        <v>46</v>
      </c>
    </row>
    <row r="22" spans="1:14">
      <c r="A22"/>
      <c r="B22"/>
      <c r="C22"/>
      <c r="D22"/>
      <c r="E22"/>
      <c r="F22"/>
      <c r="G22"/>
      <c r="H22"/>
      <c r="I22"/>
      <c r="J22"/>
      <c r="K22"/>
    </row>
    <row r="23" spans="1:14" ht="16.05" customHeight="1">
      <c r="I23"/>
      <c r="J23"/>
      <c r="K23"/>
    </row>
    <row r="24" spans="1:14">
      <c r="A24" s="612" t="s">
        <v>324</v>
      </c>
      <c r="B24" s="612"/>
      <c r="D24" s="652" t="s">
        <v>324</v>
      </c>
      <c r="E24" s="652"/>
      <c r="I24"/>
      <c r="J24"/>
      <c r="K24"/>
    </row>
    <row r="25" spans="1:14">
      <c r="A25" s="612" t="s">
        <v>465</v>
      </c>
      <c r="B25" s="612"/>
      <c r="D25" s="652" t="s">
        <v>474</v>
      </c>
      <c r="E25" s="652"/>
      <c r="I25"/>
      <c r="J25"/>
      <c r="K25"/>
    </row>
    <row r="26" spans="1:14">
      <c r="A26" s="131"/>
      <c r="B26" s="131" t="s">
        <v>13</v>
      </c>
      <c r="D26" s="90"/>
      <c r="E26" s="90" t="s">
        <v>13</v>
      </c>
      <c r="I26"/>
      <c r="J26"/>
      <c r="K26"/>
    </row>
    <row r="27" spans="1:14">
      <c r="A27" s="131" t="s">
        <v>11</v>
      </c>
      <c r="B27" s="131">
        <f>B4+B5+B6+B7+C20</f>
        <v>164305021.66</v>
      </c>
      <c r="C27"/>
      <c r="D27" s="90" t="s">
        <v>11</v>
      </c>
      <c r="E27" s="200">
        <f>E4+E5+E6+E7+J20</f>
        <v>134</v>
      </c>
      <c r="F27"/>
      <c r="G27"/>
      <c r="H27"/>
      <c r="I27"/>
      <c r="J27"/>
      <c r="K27"/>
    </row>
    <row r="28" spans="1:14">
      <c r="A28" s="131" t="s">
        <v>14</v>
      </c>
      <c r="B28" s="131">
        <f>C21+B9+B10+B11+G20</f>
        <v>415648300.13000005</v>
      </c>
      <c r="C28"/>
      <c r="D28" s="90" t="s">
        <v>14</v>
      </c>
      <c r="E28" s="200">
        <f>J21+E9+E10+E11+N20</f>
        <v>728</v>
      </c>
      <c r="F28"/>
      <c r="G28"/>
      <c r="H28"/>
      <c r="I28"/>
      <c r="J28"/>
      <c r="K28"/>
    </row>
    <row r="29" spans="1:14">
      <c r="A29" s="131" t="s">
        <v>12</v>
      </c>
      <c r="B29" s="131">
        <f>G21</f>
        <v>10687205.210000003</v>
      </c>
      <c r="C29"/>
      <c r="D29" s="90" t="s">
        <v>12</v>
      </c>
      <c r="E29" s="200">
        <f>N21</f>
        <v>46</v>
      </c>
      <c r="F29"/>
      <c r="G29"/>
      <c r="H29"/>
      <c r="I29"/>
      <c r="J29"/>
      <c r="K29"/>
    </row>
    <row r="30" spans="1:14">
      <c r="A30"/>
      <c r="B30"/>
      <c r="C30"/>
      <c r="D30"/>
      <c r="E30"/>
      <c r="F30"/>
      <c r="G30"/>
      <c r="H30"/>
      <c r="I30"/>
      <c r="J30"/>
      <c r="K30"/>
    </row>
    <row r="31" spans="1:14" ht="30" customHeight="1">
      <c r="A31"/>
      <c r="B31"/>
      <c r="C31"/>
      <c r="D31"/>
      <c r="E31"/>
      <c r="F31"/>
      <c r="G31"/>
      <c r="H31"/>
      <c r="I31"/>
      <c r="J31"/>
      <c r="K31"/>
    </row>
    <row r="32" spans="1:14" ht="19.95" customHeight="1">
      <c r="A32" s="226"/>
      <c r="B32" s="226"/>
      <c r="C32" s="226"/>
      <c r="D32" s="226"/>
      <c r="E32" s="226"/>
      <c r="F32"/>
      <c r="G32"/>
      <c r="H32"/>
      <c r="I32"/>
      <c r="J32"/>
      <c r="K32"/>
    </row>
    <row r="33" spans="1:11" ht="30" customHeight="1">
      <c r="A33" s="612" t="s">
        <v>304</v>
      </c>
      <c r="B33" s="612"/>
      <c r="C33"/>
      <c r="D33" s="174"/>
      <c r="E33" s="174"/>
      <c r="F33"/>
      <c r="G33"/>
      <c r="H33"/>
      <c r="I33"/>
      <c r="J33"/>
      <c r="K33"/>
    </row>
    <row r="34" spans="1:11" ht="30" customHeight="1">
      <c r="A34" s="612" t="s">
        <v>323</v>
      </c>
      <c r="B34" s="612"/>
      <c r="C34"/>
      <c r="D34" s="174"/>
      <c r="E34" s="174"/>
      <c r="F34"/>
      <c r="G34"/>
      <c r="H34"/>
      <c r="I34"/>
      <c r="J34"/>
      <c r="K34"/>
    </row>
    <row r="35" spans="1:11" ht="30" customHeight="1">
      <c r="A35" s="131"/>
      <c r="B35" s="131" t="s">
        <v>13</v>
      </c>
      <c r="C35"/>
      <c r="D35" s="44"/>
      <c r="E35" s="44"/>
      <c r="F35"/>
      <c r="G35"/>
      <c r="H35"/>
      <c r="I35"/>
      <c r="J35"/>
      <c r="K35"/>
    </row>
    <row r="36" spans="1:11" ht="30" customHeight="1">
      <c r="A36" s="131" t="s">
        <v>11</v>
      </c>
      <c r="B36" s="131">
        <f>B27/IMF!$F$35</f>
        <v>7541078.6515513128</v>
      </c>
      <c r="C36"/>
      <c r="D36" s="44"/>
      <c r="E36" s="44"/>
      <c r="F36"/>
      <c r="G36"/>
      <c r="H36"/>
      <c r="I36"/>
      <c r="J36"/>
      <c r="K36"/>
    </row>
    <row r="37" spans="1:11" ht="30" customHeight="1">
      <c r="A37" s="131" t="s">
        <v>14</v>
      </c>
      <c r="B37" s="131">
        <f>B28/IMF!$F$35</f>
        <v>19076936.851936847</v>
      </c>
      <c r="C37"/>
      <c r="D37" s="44"/>
      <c r="E37" s="44"/>
      <c r="F37"/>
      <c r="G37"/>
      <c r="H37"/>
      <c r="I37"/>
      <c r="J37"/>
      <c r="K37"/>
    </row>
    <row r="38" spans="1:11" ht="30" customHeight="1">
      <c r="A38" s="131" t="s">
        <v>12</v>
      </c>
      <c r="B38" s="131">
        <f>B29/IMF!$F$35</f>
        <v>490508.77593170566</v>
      </c>
      <c r="C38"/>
      <c r="D38" s="44"/>
      <c r="E38" s="44"/>
      <c r="F38"/>
      <c r="G38"/>
      <c r="H38"/>
      <c r="I38"/>
      <c r="J38"/>
      <c r="K38"/>
    </row>
    <row r="39" spans="1:11" ht="30" customHeight="1"/>
  </sheetData>
  <mergeCells count="12">
    <mergeCell ref="A2:B2"/>
    <mergeCell ref="D2:E2"/>
    <mergeCell ref="A3:B3"/>
    <mergeCell ref="D3:E3"/>
    <mergeCell ref="A33:B33"/>
    <mergeCell ref="A34:B34"/>
    <mergeCell ref="A18:G18"/>
    <mergeCell ref="H18:N18"/>
    <mergeCell ref="A24:B24"/>
    <mergeCell ref="A25:B25"/>
    <mergeCell ref="D25:E25"/>
    <mergeCell ref="D24:E2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EB4BA-1D21-3B41-B662-F9455863020A}">
  <dimension ref="A1:N47"/>
  <sheetViews>
    <sheetView zoomScale="80" zoomScaleNormal="80" workbookViewId="0">
      <selection activeCell="E33" sqref="E33"/>
    </sheetView>
  </sheetViews>
  <sheetFormatPr defaultColWidth="10.796875" defaultRowHeight="15.6"/>
  <cols>
    <col min="1" max="1" width="42" style="3" customWidth="1"/>
    <col min="2" max="2" width="25.796875" style="3" customWidth="1"/>
    <col min="3" max="3" width="34.296875" style="3" customWidth="1"/>
    <col min="4" max="4" width="25.796875" style="3" customWidth="1"/>
    <col min="5" max="5" width="25.296875" style="3" customWidth="1"/>
    <col min="6" max="8" width="20.796875" style="3" customWidth="1"/>
    <col min="9" max="9" width="18" style="3" customWidth="1"/>
    <col min="10" max="10" width="21.5" style="3" customWidth="1"/>
    <col min="11" max="11" width="19.296875" style="3" customWidth="1"/>
    <col min="12" max="12" width="11.796875" style="3" customWidth="1"/>
    <col min="13" max="13" width="7.296875" style="3" customWidth="1"/>
    <col min="14" max="14" width="10.69921875" style="3" customWidth="1"/>
    <col min="15" max="16384" width="10.796875" style="3"/>
  </cols>
  <sheetData>
    <row r="1" spans="1:14" ht="16.2" thickBot="1"/>
    <row r="2" spans="1:14" ht="25.05" customHeight="1">
      <c r="A2" s="653" t="s">
        <v>155</v>
      </c>
      <c r="B2" s="654"/>
      <c r="C2" s="654"/>
      <c r="D2" s="654"/>
      <c r="E2" s="654"/>
      <c r="F2" s="654"/>
      <c r="G2" s="654"/>
      <c r="H2" s="654"/>
      <c r="I2" s="655"/>
    </row>
    <row r="3" spans="1:14" ht="25.05" customHeight="1" thickBot="1">
      <c r="A3" s="662" t="s">
        <v>378</v>
      </c>
      <c r="B3" s="663"/>
      <c r="C3" s="663"/>
      <c r="D3" s="663"/>
      <c r="E3" s="663"/>
      <c r="F3" s="663"/>
      <c r="G3" s="663"/>
      <c r="H3" s="663"/>
      <c r="I3" s="664"/>
    </row>
    <row r="4" spans="1:14" ht="25.05" customHeight="1">
      <c r="A4" s="659" t="s">
        <v>212</v>
      </c>
      <c r="B4" s="660"/>
      <c r="C4" s="661"/>
      <c r="D4" s="659" t="s">
        <v>300</v>
      </c>
      <c r="E4" s="660"/>
      <c r="F4" s="661"/>
      <c r="G4" s="659" t="s">
        <v>433</v>
      </c>
      <c r="H4" s="660"/>
      <c r="I4" s="661"/>
    </row>
    <row r="5" spans="1:14" ht="25.05" customHeight="1">
      <c r="A5" s="204"/>
      <c r="B5" s="131" t="s">
        <v>9</v>
      </c>
      <c r="C5" s="205" t="s">
        <v>10</v>
      </c>
      <c r="D5" s="204"/>
      <c r="E5" s="131" t="s">
        <v>9</v>
      </c>
      <c r="F5" s="205" t="s">
        <v>10</v>
      </c>
      <c r="G5" s="204"/>
      <c r="H5" s="131" t="s">
        <v>9</v>
      </c>
      <c r="I5" s="205" t="s">
        <v>10</v>
      </c>
    </row>
    <row r="6" spans="1:14" ht="25.05" customHeight="1">
      <c r="A6" s="206" t="s">
        <v>430</v>
      </c>
      <c r="B6" s="173">
        <f>10.1*10000000</f>
        <v>101000000</v>
      </c>
      <c r="C6" s="207">
        <f>6.32*10000000</f>
        <v>63200000</v>
      </c>
      <c r="D6" s="206" t="s">
        <v>430</v>
      </c>
      <c r="E6" s="173">
        <f>23.22*10000000</f>
        <v>232200000</v>
      </c>
      <c r="F6" s="207">
        <f>13.46*10000000</f>
        <v>134600000</v>
      </c>
      <c r="G6" s="206" t="s">
        <v>430</v>
      </c>
      <c r="H6" s="173">
        <f>3.67*10000000</f>
        <v>36700000</v>
      </c>
      <c r="I6" s="207">
        <f>2.13*10000000</f>
        <v>21300000</v>
      </c>
    </row>
    <row r="7" spans="1:14" ht="25.05" customHeight="1">
      <c r="A7" s="206" t="s">
        <v>431</v>
      </c>
      <c r="B7" s="173">
        <f>33.7*10000000</f>
        <v>337000000</v>
      </c>
      <c r="C7" s="207">
        <f>42.89*10000000</f>
        <v>428900000</v>
      </c>
      <c r="D7" s="206" t="s">
        <v>431</v>
      </c>
      <c r="E7" s="173">
        <f>77.45*10000000</f>
        <v>774500000</v>
      </c>
      <c r="F7" s="207">
        <f>91.38*10000000</f>
        <v>913800000</v>
      </c>
      <c r="G7" s="206" t="s">
        <v>431</v>
      </c>
      <c r="H7" s="173">
        <f>12.26*10000000</f>
        <v>122600000</v>
      </c>
      <c r="I7" s="207">
        <f>14.46*10000000</f>
        <v>144600000</v>
      </c>
    </row>
    <row r="8" spans="1:14" ht="25.05" customHeight="1">
      <c r="A8" s="206" t="s">
        <v>399</v>
      </c>
      <c r="B8" s="173">
        <f>13.82*10000000</f>
        <v>138200000</v>
      </c>
      <c r="C8" s="207">
        <f>11.79*10000000</f>
        <v>117899999.99999999</v>
      </c>
      <c r="D8" s="206" t="s">
        <v>432</v>
      </c>
      <c r="E8" s="173">
        <f>31.76*10000000</f>
        <v>317600000</v>
      </c>
      <c r="F8" s="207">
        <f>25.12*10000000</f>
        <v>251200000</v>
      </c>
      <c r="G8" s="206" t="s">
        <v>432</v>
      </c>
      <c r="H8" s="173">
        <f>5.03*10000000</f>
        <v>50300000</v>
      </c>
      <c r="I8" s="207">
        <f>3.97*10000000</f>
        <v>39700000</v>
      </c>
    </row>
    <row r="9" spans="1:14" ht="25.05" customHeight="1">
      <c r="A9" s="206" t="s">
        <v>400</v>
      </c>
      <c r="B9" s="173">
        <f>31.97*10000000</f>
        <v>319700000</v>
      </c>
      <c r="C9" s="207">
        <f>27.28*10000000</f>
        <v>272800000</v>
      </c>
      <c r="D9" s="206" t="s">
        <v>400</v>
      </c>
      <c r="E9" s="173">
        <f>73.46*10000000</f>
        <v>734599999.99999988</v>
      </c>
      <c r="F9" s="207">
        <f>58.12*10000000</f>
        <v>581200000</v>
      </c>
      <c r="G9" s="206" t="s">
        <v>400</v>
      </c>
      <c r="H9" s="173">
        <f>11.62*10000000</f>
        <v>116199999.99999999</v>
      </c>
      <c r="I9" s="207">
        <f>9.2*10000000</f>
        <v>92000000</v>
      </c>
    </row>
    <row r="10" spans="1:14" ht="25.05" customHeight="1">
      <c r="A10" s="206" t="s">
        <v>401</v>
      </c>
      <c r="B10" s="173">
        <f>32.65*10000000</f>
        <v>326500000</v>
      </c>
      <c r="C10" s="207">
        <f>38.32*10000000</f>
        <v>383200000</v>
      </c>
      <c r="D10" s="206" t="s">
        <v>401</v>
      </c>
      <c r="E10" s="173">
        <f>75.02*10000000</f>
        <v>750200000</v>
      </c>
      <c r="F10" s="207">
        <f>81.63*10000000</f>
        <v>816300000</v>
      </c>
      <c r="G10" s="206" t="s">
        <v>401</v>
      </c>
      <c r="H10" s="173">
        <f>11.87*10000000</f>
        <v>118699999.99999999</v>
      </c>
      <c r="I10" s="207">
        <f>12.92*10000000</f>
        <v>129200000</v>
      </c>
    </row>
    <row r="11" spans="1:14" ht="25.05" customHeight="1">
      <c r="A11" s="206" t="s">
        <v>402</v>
      </c>
      <c r="B11" s="173">
        <f>92.6*10000000</f>
        <v>926000000</v>
      </c>
      <c r="C11" s="207">
        <f>80.49*10000000</f>
        <v>804900000</v>
      </c>
      <c r="D11" s="206" t="s">
        <v>402</v>
      </c>
      <c r="E11" s="173">
        <f>212.8*10000000</f>
        <v>2128000000</v>
      </c>
      <c r="F11" s="207">
        <f>171.5*10000000</f>
        <v>1715000000</v>
      </c>
      <c r="G11" s="206" t="s">
        <v>402</v>
      </c>
      <c r="H11" s="173">
        <f>33.67*10000000</f>
        <v>336700000</v>
      </c>
      <c r="I11" s="207">
        <f>27.14*10000000</f>
        <v>271400000</v>
      </c>
    </row>
    <row r="12" spans="1:14" ht="25.05" customHeight="1">
      <c r="A12" s="206" t="s">
        <v>403</v>
      </c>
      <c r="B12" s="173">
        <f>109.16*10000000</f>
        <v>1091600000</v>
      </c>
      <c r="C12" s="207">
        <f>99.79*10000000</f>
        <v>997900000.00000012</v>
      </c>
      <c r="D12" s="206" t="s">
        <v>403</v>
      </c>
      <c r="E12" s="173">
        <f>250.85*10000000</f>
        <v>2508500000</v>
      </c>
      <c r="F12" s="207">
        <f>212.61*10000000</f>
        <v>2126100000.0000002</v>
      </c>
      <c r="G12" s="206" t="s">
        <v>403</v>
      </c>
      <c r="H12" s="173">
        <f>39.69*10000000</f>
        <v>396900000</v>
      </c>
      <c r="I12" s="207">
        <f>33.64*10000000</f>
        <v>336400000</v>
      </c>
      <c r="K12" s="646"/>
      <c r="L12" s="646"/>
      <c r="M12" s="646"/>
      <c r="N12" s="646"/>
    </row>
    <row r="13" spans="1:14" ht="25.05" customHeight="1">
      <c r="A13" s="206" t="s">
        <v>404</v>
      </c>
      <c r="B13" s="173">
        <f>175.07*10000000</f>
        <v>1750700000</v>
      </c>
      <c r="C13" s="207">
        <f>80.5*10000000</f>
        <v>805000000</v>
      </c>
      <c r="D13" s="206" t="s">
        <v>404</v>
      </c>
      <c r="E13" s="173">
        <f>402.31*10000000</f>
        <v>4023100000</v>
      </c>
      <c r="F13" s="207">
        <f>171.5*10000000</f>
        <v>1715000000</v>
      </c>
      <c r="G13" s="206" t="s">
        <v>404</v>
      </c>
      <c r="H13" s="173">
        <f>63.66*10000000</f>
        <v>636600000</v>
      </c>
      <c r="I13" s="207">
        <f>27.14*10000000</f>
        <v>271400000</v>
      </c>
    </row>
    <row r="14" spans="1:14" ht="25.05" customHeight="1">
      <c r="A14" s="204" t="s">
        <v>405</v>
      </c>
      <c r="B14" s="173">
        <f>223.89*10000000</f>
        <v>2238900000</v>
      </c>
      <c r="C14" s="207">
        <f>110.9*10000000</f>
        <v>1109000000</v>
      </c>
      <c r="D14" s="204" t="s">
        <v>405</v>
      </c>
      <c r="E14" s="173">
        <f>514.49*10000000</f>
        <v>5144900000</v>
      </c>
      <c r="F14" s="207">
        <f>236.28*10000000</f>
        <v>2362800000</v>
      </c>
      <c r="G14" s="204" t="s">
        <v>405</v>
      </c>
      <c r="H14" s="173">
        <f>81.41*10000000</f>
        <v>814100000</v>
      </c>
      <c r="I14" s="207">
        <f>37.39*10000000</f>
        <v>373900000</v>
      </c>
      <c r="K14" s="34"/>
      <c r="L14" s="34"/>
      <c r="M14" s="34"/>
      <c r="N14" s="34"/>
    </row>
    <row r="15" spans="1:14" ht="25.05" customHeight="1">
      <c r="A15" s="208" t="s">
        <v>406</v>
      </c>
      <c r="B15" s="173">
        <f>267.72*10000000</f>
        <v>2677200000.0000005</v>
      </c>
      <c r="C15" s="207">
        <f>127.93*10000000</f>
        <v>1279300000</v>
      </c>
      <c r="D15" s="208" t="s">
        <v>406</v>
      </c>
      <c r="E15" s="173">
        <f>615.22*10000000</f>
        <v>6152200000</v>
      </c>
      <c r="F15" s="207">
        <f>272.56*10000000</f>
        <v>2725600000</v>
      </c>
      <c r="G15" s="208" t="s">
        <v>406</v>
      </c>
      <c r="H15" s="173">
        <f>97.35*10000000</f>
        <v>973500000</v>
      </c>
      <c r="I15" s="207">
        <f>43.13*10000000</f>
        <v>431300000</v>
      </c>
      <c r="K15" s="34"/>
      <c r="L15" s="34"/>
      <c r="M15" s="34"/>
      <c r="N15" s="34"/>
    </row>
    <row r="16" spans="1:14" ht="25.05" customHeight="1">
      <c r="A16" s="208" t="s">
        <v>407</v>
      </c>
      <c r="B16" s="173">
        <f>338.24*10000000</f>
        <v>3382400000</v>
      </c>
      <c r="C16" s="207">
        <f>178.93*10000000</f>
        <v>1789300000</v>
      </c>
      <c r="D16" s="208" t="s">
        <v>407</v>
      </c>
      <c r="E16" s="173">
        <f>777.29*10000000</f>
        <v>7772900000</v>
      </c>
      <c r="F16" s="207">
        <f>381.23*10000000</f>
        <v>3812300000</v>
      </c>
      <c r="G16" s="208" t="s">
        <v>407</v>
      </c>
      <c r="H16" s="173">
        <f>122.99*10000000</f>
        <v>1229900000</v>
      </c>
      <c r="I16" s="207">
        <f>60.33*10000000</f>
        <v>603300000</v>
      </c>
      <c r="K16" s="34"/>
      <c r="L16" s="34"/>
      <c r="M16" s="34"/>
      <c r="N16" s="34"/>
    </row>
    <row r="17" spans="1:14" ht="25.05" customHeight="1">
      <c r="A17" s="208" t="s">
        <v>408</v>
      </c>
      <c r="B17" s="173">
        <f>324.71*10000000</f>
        <v>3247100000</v>
      </c>
      <c r="C17" s="207">
        <f>172.04*10000000</f>
        <v>1720400000</v>
      </c>
      <c r="D17" s="208" t="s">
        <v>408</v>
      </c>
      <c r="E17" s="173">
        <f>746.2*10000000</f>
        <v>7462000000</v>
      </c>
      <c r="F17" s="207">
        <f>366.54*10000000</f>
        <v>3665400000</v>
      </c>
      <c r="G17" s="208" t="s">
        <v>408</v>
      </c>
      <c r="H17" s="173">
        <f>118.07*10000000</f>
        <v>1180700000</v>
      </c>
      <c r="I17" s="207">
        <f>58*10000000</f>
        <v>580000000</v>
      </c>
      <c r="K17" s="34"/>
      <c r="L17" s="34"/>
      <c r="M17" s="34"/>
      <c r="N17" s="34"/>
    </row>
    <row r="18" spans="1:14" ht="25.05" customHeight="1">
      <c r="A18" s="208" t="s">
        <v>409</v>
      </c>
      <c r="B18" s="173">
        <f>319.74*10000000</f>
        <v>3197400000</v>
      </c>
      <c r="C18" s="207">
        <f>183.13*10000000</f>
        <v>1831300000</v>
      </c>
      <c r="D18" s="208" t="s">
        <v>409</v>
      </c>
      <c r="E18" s="173">
        <f>734.76*10000000</f>
        <v>7347600000</v>
      </c>
      <c r="F18" s="207">
        <f>390.17*10000000</f>
        <v>3901700000</v>
      </c>
      <c r="G18" s="208" t="s">
        <v>409</v>
      </c>
      <c r="H18" s="173">
        <f>116.26*10000000</f>
        <v>1162600000</v>
      </c>
      <c r="I18" s="207">
        <f>61.74*10000000</f>
        <v>617400000</v>
      </c>
      <c r="K18" s="34"/>
      <c r="L18" s="34"/>
      <c r="M18" s="34"/>
      <c r="N18" s="34"/>
    </row>
    <row r="19" spans="1:14" ht="25.05" customHeight="1">
      <c r="A19" s="208" t="s">
        <v>410</v>
      </c>
      <c r="B19" s="173">
        <f>301.86*10000000</f>
        <v>3018600000</v>
      </c>
      <c r="C19" s="207">
        <f>156.23*10000000</f>
        <v>1562300000</v>
      </c>
      <c r="D19" s="208" t="s">
        <v>410</v>
      </c>
      <c r="E19" s="173">
        <f>693.68*10000000</f>
        <v>6936799999.999999</v>
      </c>
      <c r="F19" s="207">
        <f>332.86*10000000</f>
        <v>3328600000</v>
      </c>
      <c r="G19" s="208" t="s">
        <v>410</v>
      </c>
      <c r="H19" s="173">
        <f>109.76*10000000</f>
        <v>1097600000</v>
      </c>
      <c r="I19" s="207">
        <f>52.67*10000000</f>
        <v>526700000</v>
      </c>
    </row>
    <row r="20" spans="1:14" ht="25.05" customHeight="1">
      <c r="A20" s="208" t="s">
        <v>411</v>
      </c>
      <c r="B20" s="173">
        <f>242.35*10000000</f>
        <v>2423500000</v>
      </c>
      <c r="C20" s="207">
        <f>113.1*10000000</f>
        <v>1131000000</v>
      </c>
      <c r="D20" s="208" t="s">
        <v>411</v>
      </c>
      <c r="E20" s="173">
        <f>556.92*10000000</f>
        <v>5569200000</v>
      </c>
      <c r="F20" s="207">
        <f>240.97*10000000</f>
        <v>2409700000</v>
      </c>
      <c r="G20" s="208" t="s">
        <v>411</v>
      </c>
      <c r="H20" s="173">
        <f>88.12*10000000</f>
        <v>881200000</v>
      </c>
      <c r="I20" s="207">
        <f>38.13*10000000</f>
        <v>381300000</v>
      </c>
    </row>
    <row r="21" spans="1:14" ht="25.05" customHeight="1">
      <c r="A21" s="208" t="s">
        <v>412</v>
      </c>
      <c r="B21" s="173">
        <f>165.3*10000000</f>
        <v>1653000000</v>
      </c>
      <c r="C21" s="207">
        <f>78.15*10000000</f>
        <v>781500000</v>
      </c>
      <c r="D21" s="208" t="s">
        <v>412</v>
      </c>
      <c r="E21" s="173">
        <f>379.86*10000000</f>
        <v>3798600000</v>
      </c>
      <c r="F21" s="207">
        <f>166.49*10000000</f>
        <v>1664900000</v>
      </c>
      <c r="G21" s="208" t="s">
        <v>412</v>
      </c>
      <c r="H21" s="173">
        <f>60.11*10000000</f>
        <v>601100000</v>
      </c>
      <c r="I21" s="207">
        <f>26.35*10000000</f>
        <v>263500000</v>
      </c>
    </row>
    <row r="22" spans="1:14" ht="25.05" customHeight="1">
      <c r="A22" s="208" t="s">
        <v>413</v>
      </c>
      <c r="B22" s="173">
        <f>77.56*10000000</f>
        <v>775600000</v>
      </c>
      <c r="C22" s="207">
        <f>42.22*10000000</f>
        <v>422200000</v>
      </c>
      <c r="D22" s="208" t="s">
        <v>413</v>
      </c>
      <c r="E22" s="173">
        <f>178.24*10000000</f>
        <v>1782400000</v>
      </c>
      <c r="F22" s="207">
        <f>89.95*10000000</f>
        <v>899500000</v>
      </c>
      <c r="G22" s="208" t="s">
        <v>413</v>
      </c>
      <c r="H22" s="173">
        <f>28.2*10000000</f>
        <v>282000000</v>
      </c>
      <c r="I22" s="207">
        <f>14.23*10000000</f>
        <v>142300000</v>
      </c>
    </row>
    <row r="23" spans="1:14" ht="25.05" customHeight="1" thickBot="1">
      <c r="A23" s="209" t="s">
        <v>373</v>
      </c>
      <c r="B23" s="210">
        <f>66.48*10000000</f>
        <v>664800000</v>
      </c>
      <c r="C23" s="211">
        <f>35.73*10000000</f>
        <v>357299999.99999994</v>
      </c>
      <c r="D23" s="209" t="s">
        <v>373</v>
      </c>
      <c r="E23" s="210">
        <f>152.77*10000000</f>
        <v>1527700000</v>
      </c>
      <c r="F23" s="211">
        <f>76.13*10000000</f>
        <v>761300000</v>
      </c>
      <c r="G23" s="209" t="s">
        <v>373</v>
      </c>
      <c r="H23" s="210">
        <f>24.17*10000000</f>
        <v>241700000.00000003</v>
      </c>
      <c r="I23" s="211">
        <f>12.05*10000000</f>
        <v>120500000</v>
      </c>
    </row>
    <row r="26" spans="1:14" ht="30" customHeight="1" thickBot="1">
      <c r="A26" s="137"/>
      <c r="B26" s="42"/>
      <c r="C26" s="42"/>
      <c r="D26" s="42"/>
      <c r="E26" s="42"/>
      <c r="F26" s="42"/>
      <c r="G26" s="42"/>
    </row>
    <row r="27" spans="1:14" ht="30" customHeight="1" thickBot="1">
      <c r="A27" s="669" t="s">
        <v>324</v>
      </c>
      <c r="B27" s="670"/>
      <c r="C27" s="670"/>
      <c r="D27" s="670"/>
      <c r="E27" s="670"/>
      <c r="F27" s="670"/>
      <c r="G27" s="671"/>
      <c r="H27" s="42"/>
    </row>
    <row r="28" spans="1:14" ht="30" customHeight="1" thickBot="1">
      <c r="A28" s="672" t="s">
        <v>465</v>
      </c>
      <c r="B28" s="673"/>
      <c r="C28" s="673"/>
      <c r="D28" s="673"/>
      <c r="E28" s="673"/>
      <c r="F28" s="673"/>
      <c r="G28" s="674"/>
      <c r="H28" s="42"/>
    </row>
    <row r="29" spans="1:14" ht="30" customHeight="1">
      <c r="A29" s="665"/>
      <c r="B29" s="667">
        <v>2020</v>
      </c>
      <c r="C29" s="668"/>
      <c r="D29" s="667">
        <v>2021</v>
      </c>
      <c r="E29" s="668"/>
      <c r="F29" s="667">
        <v>2022</v>
      </c>
      <c r="G29" s="668"/>
    </row>
    <row r="30" spans="1:14" ht="30" customHeight="1">
      <c r="A30" s="666"/>
      <c r="B30" s="208" t="s">
        <v>151</v>
      </c>
      <c r="C30" s="233" t="s">
        <v>152</v>
      </c>
      <c r="D30" s="208" t="s">
        <v>151</v>
      </c>
      <c r="E30" s="233" t="s">
        <v>152</v>
      </c>
      <c r="F30" s="208" t="s">
        <v>151</v>
      </c>
      <c r="G30" s="233" t="s">
        <v>152</v>
      </c>
    </row>
    <row r="31" spans="1:14" ht="30" customHeight="1">
      <c r="A31" s="234" t="s">
        <v>11</v>
      </c>
      <c r="B31" s="235">
        <f>SUM(B6:B14)</f>
        <v>7229600000</v>
      </c>
      <c r="C31" s="236">
        <f>SUM(C6:C14)</f>
        <v>4982800000</v>
      </c>
      <c r="D31" s="235">
        <f>SUM(E6:E14)</f>
        <v>16613600000</v>
      </c>
      <c r="E31" s="236">
        <f>SUM(F6:F14)</f>
        <v>10616000000</v>
      </c>
      <c r="F31" s="235">
        <f>SUM(H6:H14)</f>
        <v>2628800000</v>
      </c>
      <c r="G31" s="236">
        <f>SUM(I6:I14)</f>
        <v>1679900000</v>
      </c>
    </row>
    <row r="32" spans="1:14" ht="30" customHeight="1">
      <c r="A32" s="234" t="s">
        <v>14</v>
      </c>
      <c r="B32" s="235">
        <f>SUM(B15:B18)</f>
        <v>12504100000</v>
      </c>
      <c r="C32" s="236">
        <f>SUM(C15:C18)</f>
        <v>6620300000</v>
      </c>
      <c r="D32" s="235">
        <f>SUM(E15:E18)</f>
        <v>28734700000</v>
      </c>
      <c r="E32" s="236">
        <f>SUM(F15:F18)</f>
        <v>14105000000</v>
      </c>
      <c r="F32" s="235">
        <f>SUM(H15:H18)</f>
        <v>4546700000</v>
      </c>
      <c r="G32" s="236">
        <f>SUM(I15:I18)</f>
        <v>2232000000</v>
      </c>
    </row>
    <row r="33" spans="1:11" ht="30" customHeight="1" thickBot="1">
      <c r="A33" s="237" t="s">
        <v>12</v>
      </c>
      <c r="B33" s="238">
        <f>SUM(B19:B23)</f>
        <v>8535500000</v>
      </c>
      <c r="C33" s="239">
        <f>SUM(C19:C23)</f>
        <v>4254300000</v>
      </c>
      <c r="D33" s="238">
        <f>SUM(E19:E23)</f>
        <v>19614700000</v>
      </c>
      <c r="E33" s="239">
        <f>SUM(F19:F23)</f>
        <v>9064000000</v>
      </c>
      <c r="F33" s="238">
        <f>SUM(H19:H23)</f>
        <v>3103600000</v>
      </c>
      <c r="G33" s="239">
        <f>SUM(I19:I23)</f>
        <v>1434300000</v>
      </c>
    </row>
    <row r="34" spans="1:11" ht="30" customHeight="1"/>
    <row r="35" spans="1:11" ht="30" customHeight="1"/>
    <row r="36" spans="1:11" ht="30" customHeight="1"/>
    <row r="37" spans="1:11" ht="30" customHeight="1">
      <c r="A37" s="137"/>
      <c r="B37" s="42"/>
      <c r="C37" s="42"/>
      <c r="D37" s="42"/>
      <c r="E37" s="42"/>
      <c r="F37" s="42"/>
      <c r="G37" s="42"/>
      <c r="H37" s="42"/>
      <c r="I37" s="42"/>
      <c r="J37" s="42"/>
      <c r="K37" s="42"/>
    </row>
    <row r="38" spans="1:11" ht="43.95" customHeight="1">
      <c r="A38" s="627" t="s">
        <v>484</v>
      </c>
      <c r="B38" s="627"/>
      <c r="C38" s="627"/>
      <c r="D38" s="42"/>
      <c r="E38" s="621" t="s">
        <v>485</v>
      </c>
      <c r="F38" s="658"/>
      <c r="G38" s="622"/>
      <c r="I38" s="621" t="s">
        <v>486</v>
      </c>
      <c r="J38" s="658"/>
      <c r="K38" s="622"/>
    </row>
    <row r="39" spans="1:11" ht="31.95" customHeight="1">
      <c r="A39" s="627"/>
      <c r="B39" s="627" t="s">
        <v>331</v>
      </c>
      <c r="C39" s="627"/>
      <c r="E39" s="638"/>
      <c r="F39" s="656" t="s">
        <v>157</v>
      </c>
      <c r="G39" s="657"/>
      <c r="I39" s="240"/>
      <c r="J39" s="118" t="s">
        <v>151</v>
      </c>
      <c r="K39" s="118" t="s">
        <v>152</v>
      </c>
    </row>
    <row r="40" spans="1:11" ht="30" customHeight="1">
      <c r="A40" s="627"/>
      <c r="B40" s="118" t="s">
        <v>151</v>
      </c>
      <c r="C40" s="118" t="s">
        <v>152</v>
      </c>
      <c r="E40" s="639"/>
      <c r="F40" s="118" t="s">
        <v>151</v>
      </c>
      <c r="G40" s="118" t="s">
        <v>152</v>
      </c>
      <c r="I40" s="118" t="s">
        <v>11</v>
      </c>
      <c r="J40" s="151">
        <f>B31/IMF!$F$35</f>
        <v>331815678.35505784</v>
      </c>
      <c r="K40" s="151">
        <f>C31/IMF!$F$35</f>
        <v>228694694.32715255</v>
      </c>
    </row>
    <row r="41" spans="1:11" ht="30" customHeight="1">
      <c r="A41" s="118" t="s">
        <v>11</v>
      </c>
      <c r="B41" s="151">
        <f>(F31/(IMF!$C$35*IMF!$D$35))/IMF!$F$35</f>
        <v>107214433.19612473</v>
      </c>
      <c r="C41" s="151">
        <f>(G31/(IMF!$C$35*IMF!$D$35))/IMF!$F$35</f>
        <v>68513970.75706403</v>
      </c>
      <c r="E41" s="118" t="s">
        <v>11</v>
      </c>
      <c r="F41" s="151">
        <f>(D31/IMF!$C$35)/IMF!$F$35</f>
        <v>722711738.75286472</v>
      </c>
      <c r="G41" s="151">
        <f>(E31/IMF!$C$35)/IMF!$F$35</f>
        <v>461808868.5534991</v>
      </c>
      <c r="I41" s="118" t="s">
        <v>14</v>
      </c>
      <c r="J41" s="151">
        <f>B32/IMF!$F$35</f>
        <v>573898476.22544515</v>
      </c>
      <c r="K41" s="151">
        <f>C32/IMF!$F$35</f>
        <v>303850743.52854782</v>
      </c>
    </row>
    <row r="42" spans="1:11" ht="25.05" customHeight="1">
      <c r="A42" s="118" t="s">
        <v>14</v>
      </c>
      <c r="B42" s="151">
        <f>(F32/(IMF!$C$35*IMF!$D$35))/IMF!$F$35</f>
        <v>185435127.59160843</v>
      </c>
      <c r="C42" s="151">
        <f>(G32/(IMF!$C$35*IMF!$D$35))/IMF!$F$35</f>
        <v>91031122.525011554</v>
      </c>
      <c r="E42" s="118" t="s">
        <v>14</v>
      </c>
      <c r="F42" s="151">
        <f>(D32/IMF!$C$35)/IMF!$F$35</f>
        <v>1249994281.7656584</v>
      </c>
      <c r="G42" s="151">
        <f>(E32/IMF!$C$35)/IMF!$F$35</f>
        <v>613584597.86615527</v>
      </c>
      <c r="I42" s="118" t="s">
        <v>12</v>
      </c>
      <c r="J42" s="151">
        <f>B33/IMF!$F$35</f>
        <v>391752340.7380209</v>
      </c>
      <c r="K42" s="151">
        <f>C33/IMF!$F$35</f>
        <v>195258858.08702037</v>
      </c>
    </row>
    <row r="43" spans="1:11" ht="28.95" customHeight="1">
      <c r="A43" s="118" t="s">
        <v>12</v>
      </c>
      <c r="B43" s="151">
        <f>(F33/(IMF!$C$35*IMF!$D$35))/IMF!$F$35</f>
        <v>126578939.00924098</v>
      </c>
      <c r="C43" s="151">
        <f>(G33/(IMF!$C$35*IMF!$D$35))/IMF!$F$35</f>
        <v>58497284.515064552</v>
      </c>
      <c r="E43" s="118" t="s">
        <v>12</v>
      </c>
      <c r="F43" s="151">
        <f>(D33/IMF!$C$35)/IMF!$F$35</f>
        <v>853263226.64057243</v>
      </c>
      <c r="G43" s="151">
        <f>(E33/IMF!$C$35)/IMF!$F$35</f>
        <v>394294987.24273884</v>
      </c>
    </row>
    <row r="44" spans="1:11" ht="30" customHeight="1"/>
    <row r="45" spans="1:11" ht="30" customHeight="1">
      <c r="A45" s="172" t="s">
        <v>197</v>
      </c>
      <c r="C45" s="172" t="s">
        <v>198</v>
      </c>
    </row>
    <row r="46" spans="1:11" ht="30" customHeight="1">
      <c r="A46" s="172" t="s">
        <v>331</v>
      </c>
      <c r="C46" s="172" t="s">
        <v>157</v>
      </c>
    </row>
    <row r="47" spans="1:11" ht="30" customHeight="1">
      <c r="A47" s="168">
        <f>IMF!I35/(IMF!C35*IMF!D35)</f>
        <v>10575135647522.941</v>
      </c>
      <c r="C47" s="168">
        <f>IMF!H35/IMF!C35</f>
        <v>9829508942534.6191</v>
      </c>
      <c r="D47" s="34"/>
    </row>
  </sheetData>
  <mergeCells count="20">
    <mergeCell ref="M12:N12"/>
    <mergeCell ref="A29:A30"/>
    <mergeCell ref="K12:L12"/>
    <mergeCell ref="B29:C29"/>
    <mergeCell ref="D29:E29"/>
    <mergeCell ref="F29:G29"/>
    <mergeCell ref="A27:G27"/>
    <mergeCell ref="A28:G28"/>
    <mergeCell ref="A2:I2"/>
    <mergeCell ref="B39:C39"/>
    <mergeCell ref="A39:A40"/>
    <mergeCell ref="E39:E40"/>
    <mergeCell ref="F39:G39"/>
    <mergeCell ref="A38:C38"/>
    <mergeCell ref="E38:G38"/>
    <mergeCell ref="I38:K38"/>
    <mergeCell ref="A4:C4"/>
    <mergeCell ref="D4:F4"/>
    <mergeCell ref="G4:I4"/>
    <mergeCell ref="A3:I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FFD9-6792-A146-A92D-276312921ABE}">
  <dimension ref="A1:AZ128"/>
  <sheetViews>
    <sheetView topLeftCell="A16" zoomScale="80" zoomScaleNormal="80" workbookViewId="0">
      <selection activeCell="D23" sqref="D23:D27"/>
    </sheetView>
  </sheetViews>
  <sheetFormatPr defaultColWidth="11.19921875" defaultRowHeight="34.950000000000003" customHeight="1"/>
  <cols>
    <col min="1" max="1" width="15.296875" customWidth="1"/>
    <col min="2" max="2" width="18.69921875" customWidth="1"/>
    <col min="3" max="3" width="16.19921875" customWidth="1"/>
    <col min="4" max="4" width="22" customWidth="1"/>
    <col min="5" max="5" width="36.796875" style="2" customWidth="1"/>
    <col min="6" max="6" width="28.296875" style="5" customWidth="1"/>
    <col min="7" max="7" width="38.19921875" style="5" customWidth="1"/>
    <col min="8" max="8" width="16.69921875" customWidth="1"/>
    <col min="9" max="9" width="18.19921875" style="5" customWidth="1"/>
    <col min="10" max="10" width="19.19921875" customWidth="1"/>
    <col min="11" max="11" width="8.796875" customWidth="1"/>
    <col min="12" max="12" width="17.5" customWidth="1"/>
    <col min="13" max="13" width="24" customWidth="1"/>
    <col min="14" max="14" width="19.69921875" customWidth="1"/>
    <col min="16" max="16" width="18.5" customWidth="1"/>
    <col min="17" max="18" width="20.796875" customWidth="1"/>
    <col min="20" max="20" width="21.796875" customWidth="1"/>
    <col min="21" max="22" width="22" customWidth="1"/>
    <col min="24" max="24" width="18.5" customWidth="1"/>
    <col min="25" max="26" width="20.5" customWidth="1"/>
    <col min="28" max="28" width="19.19921875" customWidth="1"/>
    <col min="29" max="30" width="23.5" customWidth="1"/>
    <col min="31" max="31" width="9" customWidth="1"/>
    <col min="32" max="32" width="20.5" customWidth="1"/>
    <col min="33" max="34" width="23.796875" customWidth="1"/>
    <col min="35" max="35" width="9.296875" customWidth="1"/>
    <col min="36" max="36" width="18.69921875" customWidth="1"/>
    <col min="37" max="37" width="29.19921875" bestFit="1" customWidth="1"/>
    <col min="38" max="38" width="29.19921875" customWidth="1"/>
    <col min="39" max="39" width="10.5" customWidth="1"/>
    <col min="40" max="40" width="26.5" customWidth="1"/>
    <col min="41" max="42" width="25.69921875" customWidth="1"/>
    <col min="43" max="43" width="10.796875" customWidth="1"/>
    <col min="45" max="45" width="12.69921875" customWidth="1"/>
  </cols>
  <sheetData>
    <row r="1" spans="1:52" ht="34.950000000000003" customHeight="1">
      <c r="A1" s="56"/>
      <c r="B1" s="56"/>
      <c r="C1" s="56"/>
      <c r="D1" s="56"/>
      <c r="E1" s="56"/>
      <c r="F1" s="56"/>
      <c r="G1" s="56"/>
      <c r="L1" s="22"/>
      <c r="M1" s="22"/>
      <c r="N1" s="22"/>
    </row>
    <row r="2" spans="1:52" ht="82.05" customHeight="1" thickBot="1">
      <c r="A2" s="1" t="s">
        <v>0</v>
      </c>
      <c r="B2" s="1" t="s">
        <v>1</v>
      </c>
      <c r="C2" s="1" t="s">
        <v>2</v>
      </c>
      <c r="D2" s="1" t="s">
        <v>4</v>
      </c>
      <c r="E2" s="1" t="s">
        <v>3</v>
      </c>
      <c r="F2" s="1" t="s">
        <v>162</v>
      </c>
      <c r="G2" s="1" t="s">
        <v>7</v>
      </c>
      <c r="H2" s="1" t="s">
        <v>8</v>
      </c>
      <c r="I2" s="1" t="s">
        <v>5</v>
      </c>
      <c r="J2" s="1" t="s">
        <v>6</v>
      </c>
      <c r="K2" s="576" t="s">
        <v>503</v>
      </c>
      <c r="L2" s="576"/>
      <c r="M2" s="576"/>
      <c r="N2" s="576"/>
      <c r="O2" s="577" t="s">
        <v>504</v>
      </c>
      <c r="P2" s="577"/>
      <c r="Q2" s="577"/>
      <c r="R2" s="577"/>
      <c r="S2" s="578" t="s">
        <v>494</v>
      </c>
      <c r="T2" s="578"/>
      <c r="U2" s="578"/>
      <c r="V2" s="578"/>
      <c r="W2" s="566" t="s">
        <v>495</v>
      </c>
      <c r="X2" s="566"/>
      <c r="Y2" s="566"/>
      <c r="Z2" s="566"/>
      <c r="AA2" s="573" t="s">
        <v>505</v>
      </c>
      <c r="AB2" s="574"/>
      <c r="AC2" s="574"/>
      <c r="AD2" s="575"/>
      <c r="AE2" s="570" t="s">
        <v>506</v>
      </c>
      <c r="AF2" s="571"/>
      <c r="AG2" s="571"/>
      <c r="AH2" s="572"/>
      <c r="AI2" s="567" t="s">
        <v>496</v>
      </c>
      <c r="AJ2" s="568"/>
      <c r="AK2" s="568"/>
      <c r="AL2" s="569"/>
      <c r="AM2" s="563" t="s">
        <v>497</v>
      </c>
      <c r="AN2" s="564"/>
      <c r="AO2" s="564"/>
      <c r="AP2" s="565"/>
      <c r="AQ2" s="3"/>
      <c r="AR2" s="3"/>
      <c r="AS2" s="3"/>
      <c r="AT2" s="3"/>
      <c r="AU2" s="3"/>
      <c r="AV2" s="3"/>
      <c r="AW2" s="3"/>
      <c r="AX2" s="3"/>
      <c r="AY2" s="3"/>
      <c r="AZ2" s="3"/>
    </row>
    <row r="3" spans="1:52" ht="34.950000000000003" customHeight="1">
      <c r="A3" s="517" t="s">
        <v>113</v>
      </c>
      <c r="B3" s="517" t="s">
        <v>523</v>
      </c>
      <c r="C3" s="517" t="s">
        <v>19</v>
      </c>
      <c r="D3" s="524" t="s">
        <v>20</v>
      </c>
      <c r="E3" s="525" t="s">
        <v>21</v>
      </c>
      <c r="F3" s="513" t="s">
        <v>171</v>
      </c>
      <c r="G3" s="513" t="s">
        <v>79</v>
      </c>
      <c r="H3" s="517" t="s">
        <v>86</v>
      </c>
      <c r="I3" s="513" t="s">
        <v>88</v>
      </c>
      <c r="J3" s="517" t="s">
        <v>111</v>
      </c>
      <c r="K3" s="12"/>
      <c r="L3" s="12" t="s">
        <v>9</v>
      </c>
      <c r="M3" s="12" t="s">
        <v>10</v>
      </c>
      <c r="N3" s="12" t="s">
        <v>13</v>
      </c>
      <c r="O3" s="7"/>
      <c r="P3" s="7" t="s">
        <v>9</v>
      </c>
      <c r="Q3" s="7" t="s">
        <v>10</v>
      </c>
      <c r="R3" s="7" t="s">
        <v>13</v>
      </c>
      <c r="S3" s="20"/>
      <c r="T3" s="20" t="s">
        <v>9</v>
      </c>
      <c r="U3" s="20" t="s">
        <v>10</v>
      </c>
      <c r="V3" s="20" t="s">
        <v>13</v>
      </c>
      <c r="W3" s="21"/>
      <c r="X3" s="21" t="s">
        <v>9</v>
      </c>
      <c r="Y3" s="21" t="s">
        <v>10</v>
      </c>
      <c r="Z3" s="21" t="s">
        <v>13</v>
      </c>
      <c r="AA3" s="12"/>
      <c r="AB3" s="12" t="s">
        <v>9</v>
      </c>
      <c r="AC3" s="12" t="s">
        <v>10</v>
      </c>
      <c r="AD3" s="12" t="s">
        <v>18</v>
      </c>
      <c r="AE3" s="7"/>
      <c r="AF3" s="7" t="s">
        <v>9</v>
      </c>
      <c r="AG3" s="7" t="s">
        <v>10</v>
      </c>
      <c r="AH3" s="7" t="s">
        <v>18</v>
      </c>
      <c r="AI3" s="20"/>
      <c r="AJ3" s="20" t="s">
        <v>9</v>
      </c>
      <c r="AK3" s="20" t="s">
        <v>10</v>
      </c>
      <c r="AL3" s="20" t="s">
        <v>18</v>
      </c>
      <c r="AM3" s="21"/>
      <c r="AN3" s="21" t="s">
        <v>9</v>
      </c>
      <c r="AO3" s="21" t="s">
        <v>10</v>
      </c>
      <c r="AP3" s="21" t="s">
        <v>18</v>
      </c>
      <c r="AQ3" s="3"/>
      <c r="AR3" s="3"/>
      <c r="AS3" s="3"/>
      <c r="AT3" s="3"/>
      <c r="AU3" s="3"/>
      <c r="AV3" s="3"/>
      <c r="AW3" s="3"/>
      <c r="AX3" s="3"/>
      <c r="AY3" s="3"/>
      <c r="AZ3" s="3"/>
    </row>
    <row r="4" spans="1:52" ht="34.950000000000003" customHeight="1">
      <c r="A4" s="493"/>
      <c r="B4" s="493"/>
      <c r="C4" s="493" t="s">
        <v>19</v>
      </c>
      <c r="D4" s="519" t="s">
        <v>20</v>
      </c>
      <c r="E4" s="526" t="s">
        <v>21</v>
      </c>
      <c r="F4" s="514"/>
      <c r="G4" s="514" t="s">
        <v>79</v>
      </c>
      <c r="H4" s="493"/>
      <c r="I4" s="514"/>
      <c r="J4" s="493"/>
      <c r="K4" s="10" t="s">
        <v>11</v>
      </c>
      <c r="L4" s="10">
        <f>ID_2!B23</f>
        <v>118239770.59999999</v>
      </c>
      <c r="M4" s="10">
        <f>ID_2!C23</f>
        <v>67729639.400000006</v>
      </c>
      <c r="N4" s="10">
        <f>SUM(L4:M4)</f>
        <v>185969410</v>
      </c>
      <c r="O4" s="11" t="s">
        <v>11</v>
      </c>
      <c r="P4" s="501" t="s">
        <v>114</v>
      </c>
      <c r="Q4" s="502"/>
      <c r="R4" s="503"/>
      <c r="S4" s="18" t="s">
        <v>11</v>
      </c>
      <c r="T4" s="18">
        <f>ID_2!F23</f>
        <v>1212911614.8</v>
      </c>
      <c r="U4" s="18">
        <f>ID_2!G23</f>
        <v>695895308.39999998</v>
      </c>
      <c r="V4" s="18">
        <f>SUM(T4:U4)</f>
        <v>1908806923.1999998</v>
      </c>
      <c r="W4" s="19" t="s">
        <v>11</v>
      </c>
      <c r="X4" s="557" t="s">
        <v>114</v>
      </c>
      <c r="Y4" s="558"/>
      <c r="Z4" s="559"/>
      <c r="AA4" s="10" t="s">
        <v>11</v>
      </c>
      <c r="AB4" s="495" t="s">
        <v>114</v>
      </c>
      <c r="AC4" s="589"/>
      <c r="AD4" s="496"/>
      <c r="AE4" s="11" t="s">
        <v>11</v>
      </c>
      <c r="AF4" s="501" t="s">
        <v>114</v>
      </c>
      <c r="AG4" s="502"/>
      <c r="AH4" s="503"/>
      <c r="AI4" s="18" t="s">
        <v>11</v>
      </c>
      <c r="AJ4" s="551" t="s">
        <v>114</v>
      </c>
      <c r="AK4" s="552"/>
      <c r="AL4" s="553"/>
      <c r="AM4" s="19" t="s">
        <v>11</v>
      </c>
      <c r="AN4" s="557" t="s">
        <v>114</v>
      </c>
      <c r="AO4" s="558"/>
      <c r="AP4" s="559"/>
      <c r="AQ4" s="3"/>
      <c r="AR4" s="3"/>
      <c r="AS4" s="3"/>
      <c r="AT4" s="3"/>
      <c r="AU4" s="3"/>
      <c r="AV4" s="3"/>
      <c r="AW4" s="3"/>
      <c r="AX4" s="3"/>
      <c r="AY4" s="3"/>
      <c r="AZ4" s="3"/>
    </row>
    <row r="5" spans="1:52" ht="34.950000000000003" customHeight="1">
      <c r="A5" s="493"/>
      <c r="B5" s="493"/>
      <c r="C5" s="493" t="s">
        <v>19</v>
      </c>
      <c r="D5" s="519" t="s">
        <v>20</v>
      </c>
      <c r="E5" s="526" t="s">
        <v>21</v>
      </c>
      <c r="F5" s="514"/>
      <c r="G5" s="514" t="s">
        <v>79</v>
      </c>
      <c r="H5" s="493"/>
      <c r="I5" s="514"/>
      <c r="J5" s="493"/>
      <c r="K5" s="9" t="s">
        <v>14</v>
      </c>
      <c r="L5" s="9">
        <f>ID_2!B24</f>
        <v>310308379.74000001</v>
      </c>
      <c r="M5" s="9">
        <f>ID_2!C24</f>
        <v>193413672.5</v>
      </c>
      <c r="N5" s="9">
        <f>SUM(L5:M5)</f>
        <v>503722052.24000001</v>
      </c>
      <c r="O5" s="6" t="s">
        <v>14</v>
      </c>
      <c r="P5" s="504"/>
      <c r="Q5" s="505"/>
      <c r="R5" s="506"/>
      <c r="S5" s="13" t="s">
        <v>14</v>
      </c>
      <c r="T5" s="13">
        <f>ID_2!F24</f>
        <v>3183405493.96</v>
      </c>
      <c r="U5" s="13">
        <f>ID_2!G24</f>
        <v>1984331698.1700001</v>
      </c>
      <c r="V5" s="13">
        <f>SUM(T5:U5)</f>
        <v>5167737192.1300001</v>
      </c>
      <c r="W5" s="14" t="s">
        <v>14</v>
      </c>
      <c r="X5" s="560"/>
      <c r="Y5" s="561"/>
      <c r="Z5" s="562"/>
      <c r="AA5" s="9" t="s">
        <v>14</v>
      </c>
      <c r="AB5" s="497"/>
      <c r="AC5" s="590"/>
      <c r="AD5" s="498"/>
      <c r="AE5" s="6" t="s">
        <v>14</v>
      </c>
      <c r="AF5" s="504"/>
      <c r="AG5" s="505"/>
      <c r="AH5" s="506"/>
      <c r="AI5" s="13" t="s">
        <v>14</v>
      </c>
      <c r="AJ5" s="554"/>
      <c r="AK5" s="555"/>
      <c r="AL5" s="556"/>
      <c r="AM5" s="14" t="s">
        <v>14</v>
      </c>
      <c r="AN5" s="560"/>
      <c r="AO5" s="561"/>
      <c r="AP5" s="562"/>
      <c r="AQ5" s="3"/>
      <c r="AR5" s="3"/>
      <c r="AS5" s="3"/>
      <c r="AT5" s="3"/>
      <c r="AU5" s="3"/>
      <c r="AV5" s="3"/>
      <c r="AW5" s="3"/>
      <c r="AX5" s="3"/>
      <c r="AY5" s="3"/>
      <c r="AZ5" s="3"/>
    </row>
    <row r="6" spans="1:52" ht="34.950000000000003" customHeight="1">
      <c r="A6" s="493"/>
      <c r="B6" s="493"/>
      <c r="C6" s="493" t="s">
        <v>19</v>
      </c>
      <c r="D6" s="519" t="s">
        <v>20</v>
      </c>
      <c r="E6" s="526" t="s">
        <v>21</v>
      </c>
      <c r="F6" s="514"/>
      <c r="G6" s="514" t="s">
        <v>79</v>
      </c>
      <c r="H6" s="493"/>
      <c r="I6" s="514"/>
      <c r="J6" s="493"/>
      <c r="K6" s="10" t="s">
        <v>12</v>
      </c>
      <c r="L6" s="10">
        <f>ID_2!B25</f>
        <v>111743950.65999998</v>
      </c>
      <c r="M6" s="10">
        <f>ID_2!C25</f>
        <v>97630398.099999994</v>
      </c>
      <c r="N6" s="10">
        <f>SUM(L6:M6)</f>
        <v>209374348.75999999</v>
      </c>
      <c r="O6" s="11" t="s">
        <v>12</v>
      </c>
      <c r="P6" s="504"/>
      <c r="Q6" s="505"/>
      <c r="R6" s="506"/>
      <c r="S6" s="18" t="s">
        <v>12</v>
      </c>
      <c r="T6" s="18">
        <f>ID_2!F25</f>
        <v>1146417248.2399998</v>
      </c>
      <c r="U6" s="18">
        <f>ID_2!G25</f>
        <v>1001471446.4299999</v>
      </c>
      <c r="V6" s="18">
        <f>SUM(T6:U6)</f>
        <v>2147888694.6699996</v>
      </c>
      <c r="W6" s="19" t="s">
        <v>12</v>
      </c>
      <c r="X6" s="560"/>
      <c r="Y6" s="561"/>
      <c r="Z6" s="562"/>
      <c r="AA6" s="10" t="s">
        <v>12</v>
      </c>
      <c r="AB6" s="497"/>
      <c r="AC6" s="590"/>
      <c r="AD6" s="498"/>
      <c r="AE6" s="11" t="s">
        <v>12</v>
      </c>
      <c r="AF6" s="504"/>
      <c r="AG6" s="505"/>
      <c r="AH6" s="506"/>
      <c r="AI6" s="18" t="s">
        <v>12</v>
      </c>
      <c r="AJ6" s="554"/>
      <c r="AK6" s="555"/>
      <c r="AL6" s="556"/>
      <c r="AM6" s="19" t="s">
        <v>12</v>
      </c>
      <c r="AN6" s="560"/>
      <c r="AO6" s="561"/>
      <c r="AP6" s="562"/>
      <c r="AQ6" s="3"/>
      <c r="AR6" s="3"/>
      <c r="AS6" s="3"/>
      <c r="AT6" s="3"/>
      <c r="AU6" s="3"/>
      <c r="AV6" s="3"/>
      <c r="AW6" s="3"/>
      <c r="AX6" s="3"/>
      <c r="AY6" s="3"/>
      <c r="AZ6" s="3"/>
    </row>
    <row r="7" spans="1:52" ht="34.950000000000003" customHeight="1" thickBot="1">
      <c r="A7" s="493"/>
      <c r="B7" s="493"/>
      <c r="C7" s="493" t="s">
        <v>19</v>
      </c>
      <c r="D7" s="519" t="s">
        <v>20</v>
      </c>
      <c r="E7" s="526" t="s">
        <v>21</v>
      </c>
      <c r="F7" s="514"/>
      <c r="G7" s="514" t="s">
        <v>79</v>
      </c>
      <c r="H7" s="493"/>
      <c r="I7" s="514"/>
      <c r="J7" s="493"/>
      <c r="K7" s="9" t="s">
        <v>13</v>
      </c>
      <c r="L7" s="9">
        <f>SUM(L4:L6)</f>
        <v>540292101</v>
      </c>
      <c r="M7" s="9">
        <f>SUM(M4:M6)</f>
        <v>358773710</v>
      </c>
      <c r="N7" s="9">
        <f>SUM(L7:M7)</f>
        <v>899065811</v>
      </c>
      <c r="O7" s="6" t="s">
        <v>13</v>
      </c>
      <c r="P7" s="504"/>
      <c r="Q7" s="505"/>
      <c r="R7" s="506"/>
      <c r="S7" s="13" t="s">
        <v>13</v>
      </c>
      <c r="T7" s="13">
        <f>SUM(T4:T6)</f>
        <v>5542734357</v>
      </c>
      <c r="U7" s="13">
        <f>SUM(U4:U6)</f>
        <v>3681698453</v>
      </c>
      <c r="V7" s="13">
        <f>T7+U7</f>
        <v>9224432810</v>
      </c>
      <c r="W7" s="14" t="s">
        <v>13</v>
      </c>
      <c r="X7" s="560"/>
      <c r="Y7" s="561"/>
      <c r="Z7" s="562"/>
      <c r="AA7" s="9" t="s">
        <v>18</v>
      </c>
      <c r="AB7" s="497"/>
      <c r="AC7" s="590"/>
      <c r="AD7" s="498"/>
      <c r="AE7" s="6" t="s">
        <v>18</v>
      </c>
      <c r="AF7" s="504"/>
      <c r="AG7" s="505"/>
      <c r="AH7" s="506"/>
      <c r="AI7" s="13" t="s">
        <v>18</v>
      </c>
      <c r="AJ7" s="554"/>
      <c r="AK7" s="555"/>
      <c r="AL7" s="556"/>
      <c r="AM7" s="14" t="s">
        <v>18</v>
      </c>
      <c r="AN7" s="560"/>
      <c r="AO7" s="561"/>
      <c r="AP7" s="562"/>
      <c r="AQ7" s="3"/>
      <c r="AR7" s="3"/>
      <c r="AS7" s="3"/>
      <c r="AT7" s="3"/>
      <c r="AU7" s="3"/>
      <c r="AV7" s="3"/>
      <c r="AW7" s="3"/>
      <c r="AX7" s="3"/>
      <c r="AY7" s="3"/>
      <c r="AZ7" s="3"/>
    </row>
    <row r="8" spans="1:52" ht="34.950000000000003" customHeight="1">
      <c r="A8" s="507" t="s">
        <v>113</v>
      </c>
      <c r="B8" s="507" t="s">
        <v>523</v>
      </c>
      <c r="C8" s="507">
        <v>10</v>
      </c>
      <c r="D8" s="528" t="s">
        <v>22</v>
      </c>
      <c r="E8" s="531" t="s">
        <v>23</v>
      </c>
      <c r="F8" s="520" t="s">
        <v>78</v>
      </c>
      <c r="G8" s="520" t="s">
        <v>80</v>
      </c>
      <c r="H8" s="507" t="s">
        <v>87</v>
      </c>
      <c r="I8" s="520" t="s">
        <v>89</v>
      </c>
      <c r="J8" s="507" t="s">
        <v>111</v>
      </c>
      <c r="K8" s="12"/>
      <c r="L8" s="12" t="s">
        <v>9</v>
      </c>
      <c r="M8" s="12" t="s">
        <v>10</v>
      </c>
      <c r="N8" s="12" t="s">
        <v>13</v>
      </c>
      <c r="O8" s="7"/>
      <c r="P8" s="7" t="s">
        <v>9</v>
      </c>
      <c r="Q8" s="7" t="s">
        <v>10</v>
      </c>
      <c r="R8" s="7" t="s">
        <v>13</v>
      </c>
      <c r="S8" s="20"/>
      <c r="T8" s="20" t="s">
        <v>9</v>
      </c>
      <c r="U8" s="20" t="s">
        <v>10</v>
      </c>
      <c r="V8" s="20" t="s">
        <v>13</v>
      </c>
      <c r="W8" s="21"/>
      <c r="X8" s="21" t="s">
        <v>9</v>
      </c>
      <c r="Y8" s="21" t="s">
        <v>10</v>
      </c>
      <c r="Z8" s="21" t="s">
        <v>13</v>
      </c>
      <c r="AA8" s="12"/>
      <c r="AB8" s="12" t="s">
        <v>9</v>
      </c>
      <c r="AC8" s="12" t="s">
        <v>10</v>
      </c>
      <c r="AD8" s="12" t="s">
        <v>18</v>
      </c>
      <c r="AE8" s="7"/>
      <c r="AF8" s="7" t="s">
        <v>9</v>
      </c>
      <c r="AG8" s="7" t="s">
        <v>10</v>
      </c>
      <c r="AH8" s="7" t="s">
        <v>18</v>
      </c>
      <c r="AI8" s="20"/>
      <c r="AJ8" s="20" t="s">
        <v>9</v>
      </c>
      <c r="AK8" s="20" t="s">
        <v>10</v>
      </c>
      <c r="AL8" s="20" t="s">
        <v>18</v>
      </c>
      <c r="AM8" s="21"/>
      <c r="AN8" s="21" t="s">
        <v>9</v>
      </c>
      <c r="AO8" s="21" t="s">
        <v>10</v>
      </c>
      <c r="AP8" s="21" t="s">
        <v>18</v>
      </c>
      <c r="AQ8" s="3"/>
      <c r="AR8" s="3"/>
      <c r="AS8" s="3"/>
      <c r="AT8" s="3"/>
      <c r="AU8" s="3"/>
      <c r="AV8" s="3"/>
      <c r="AW8" s="3"/>
      <c r="AX8" s="3"/>
      <c r="AY8" s="3"/>
      <c r="AZ8" s="3"/>
    </row>
    <row r="9" spans="1:52" ht="34.950000000000003" customHeight="1">
      <c r="A9" s="508"/>
      <c r="B9" s="508"/>
      <c r="C9" s="508">
        <v>10</v>
      </c>
      <c r="D9" s="529" t="s">
        <v>22</v>
      </c>
      <c r="E9" s="532" t="s">
        <v>23</v>
      </c>
      <c r="F9" s="521"/>
      <c r="G9" s="521" t="s">
        <v>80</v>
      </c>
      <c r="H9" s="508"/>
      <c r="I9" s="521"/>
      <c r="J9" s="508"/>
      <c r="K9" s="10" t="s">
        <v>11</v>
      </c>
      <c r="L9" s="10">
        <f>ID_10!B30</f>
        <v>31985763.046239831</v>
      </c>
      <c r="M9" s="10">
        <f>ID_10!C30</f>
        <v>5605442.539285765</v>
      </c>
      <c r="N9" s="10">
        <f>SUM(L9:M9)</f>
        <v>37591205.585525595</v>
      </c>
      <c r="O9" s="11" t="s">
        <v>11</v>
      </c>
      <c r="P9" s="11">
        <f>ID_10!F30</f>
        <v>47210414.324536502</v>
      </c>
      <c r="Q9" s="11">
        <f>ID_10!G30</f>
        <v>15064600.6596632</v>
      </c>
      <c r="R9" s="11">
        <f>SUM(P9:Q9)</f>
        <v>62275014.984199703</v>
      </c>
      <c r="S9" s="18" t="s">
        <v>11</v>
      </c>
      <c r="T9" s="551" t="s">
        <v>114</v>
      </c>
      <c r="U9" s="552"/>
      <c r="V9" s="553"/>
      <c r="W9" s="19" t="s">
        <v>11</v>
      </c>
      <c r="X9" s="557" t="s">
        <v>114</v>
      </c>
      <c r="Y9" s="558"/>
      <c r="Z9" s="559"/>
      <c r="AA9" s="10" t="s">
        <v>11</v>
      </c>
      <c r="AB9" s="495" t="s">
        <v>114</v>
      </c>
      <c r="AC9" s="589"/>
      <c r="AD9" s="496"/>
      <c r="AE9" s="11" t="s">
        <v>11</v>
      </c>
      <c r="AF9" s="501" t="s">
        <v>114</v>
      </c>
      <c r="AG9" s="502"/>
      <c r="AH9" s="503"/>
      <c r="AI9" s="18" t="s">
        <v>11</v>
      </c>
      <c r="AJ9" s="551" t="s">
        <v>114</v>
      </c>
      <c r="AK9" s="552"/>
      <c r="AL9" s="553"/>
      <c r="AM9" s="19" t="s">
        <v>11</v>
      </c>
      <c r="AN9" s="557" t="s">
        <v>114</v>
      </c>
      <c r="AO9" s="558"/>
      <c r="AP9" s="559"/>
      <c r="AQ9" s="3"/>
      <c r="AR9" s="3"/>
      <c r="AS9" s="3"/>
      <c r="AT9" s="3"/>
      <c r="AU9" s="3"/>
      <c r="AV9" s="3"/>
      <c r="AW9" s="3"/>
      <c r="AX9" s="3"/>
      <c r="AY9" s="3"/>
      <c r="AZ9" s="3"/>
    </row>
    <row r="10" spans="1:52" ht="34.950000000000003" customHeight="1">
      <c r="A10" s="508"/>
      <c r="B10" s="508"/>
      <c r="C10" s="508">
        <v>10</v>
      </c>
      <c r="D10" s="529" t="s">
        <v>22</v>
      </c>
      <c r="E10" s="532" t="s">
        <v>23</v>
      </c>
      <c r="F10" s="521"/>
      <c r="G10" s="521" t="s">
        <v>80</v>
      </c>
      <c r="H10" s="508"/>
      <c r="I10" s="521"/>
      <c r="J10" s="508"/>
      <c r="K10" s="9" t="s">
        <v>14</v>
      </c>
      <c r="L10" s="9">
        <f>ID_10!B31</f>
        <v>92824222.058043465</v>
      </c>
      <c r="M10" s="9">
        <f>ID_10!C31</f>
        <v>17118273.341316879</v>
      </c>
      <c r="N10" s="9">
        <f>SUM(L10:M10)</f>
        <v>109942495.39936034</v>
      </c>
      <c r="O10" s="6" t="s">
        <v>14</v>
      </c>
      <c r="P10" s="6">
        <f>ID_10!F31</f>
        <v>52464432.735477112</v>
      </c>
      <c r="Q10" s="6">
        <f>ID_10!G31</f>
        <v>15312537.237568028</v>
      </c>
      <c r="R10" s="6">
        <f>SUM(P10:Q10)</f>
        <v>67776969.973045141</v>
      </c>
      <c r="S10" s="13" t="s">
        <v>14</v>
      </c>
      <c r="T10" s="554"/>
      <c r="U10" s="555"/>
      <c r="V10" s="556"/>
      <c r="W10" s="14" t="s">
        <v>14</v>
      </c>
      <c r="X10" s="560"/>
      <c r="Y10" s="561"/>
      <c r="Z10" s="562"/>
      <c r="AA10" s="9" t="s">
        <v>14</v>
      </c>
      <c r="AB10" s="497"/>
      <c r="AC10" s="590"/>
      <c r="AD10" s="498"/>
      <c r="AE10" s="6" t="s">
        <v>14</v>
      </c>
      <c r="AF10" s="504"/>
      <c r="AG10" s="505"/>
      <c r="AH10" s="506"/>
      <c r="AI10" s="13" t="s">
        <v>14</v>
      </c>
      <c r="AJ10" s="554"/>
      <c r="AK10" s="555"/>
      <c r="AL10" s="556"/>
      <c r="AM10" s="14" t="s">
        <v>14</v>
      </c>
      <c r="AN10" s="560"/>
      <c r="AO10" s="561"/>
      <c r="AP10" s="562"/>
      <c r="AQ10" s="3"/>
      <c r="AR10" s="3"/>
      <c r="AS10" s="3"/>
      <c r="AT10" s="3"/>
      <c r="AU10" s="3"/>
      <c r="AV10" s="3"/>
      <c r="AW10" s="3"/>
      <c r="AX10" s="3"/>
      <c r="AY10" s="3"/>
      <c r="AZ10" s="3"/>
    </row>
    <row r="11" spans="1:52" ht="34.950000000000003" customHeight="1">
      <c r="A11" s="508"/>
      <c r="B11" s="508"/>
      <c r="C11" s="508">
        <v>10</v>
      </c>
      <c r="D11" s="529" t="s">
        <v>22</v>
      </c>
      <c r="E11" s="532" t="s">
        <v>23</v>
      </c>
      <c r="F11" s="521"/>
      <c r="G11" s="521" t="s">
        <v>80</v>
      </c>
      <c r="H11" s="508"/>
      <c r="I11" s="521"/>
      <c r="J11" s="508"/>
      <c r="K11" s="10" t="s">
        <v>12</v>
      </c>
      <c r="L11" s="582" t="s">
        <v>114</v>
      </c>
      <c r="M11" s="583"/>
      <c r="N11" s="10"/>
      <c r="O11" s="11" t="s">
        <v>12</v>
      </c>
      <c r="P11" s="584" t="s">
        <v>114</v>
      </c>
      <c r="Q11" s="585"/>
      <c r="R11" s="11"/>
      <c r="S11" s="18" t="s">
        <v>12</v>
      </c>
      <c r="T11" s="554"/>
      <c r="U11" s="555"/>
      <c r="V11" s="556"/>
      <c r="W11" s="19" t="s">
        <v>12</v>
      </c>
      <c r="X11" s="560"/>
      <c r="Y11" s="561"/>
      <c r="Z11" s="562"/>
      <c r="AA11" s="10" t="s">
        <v>12</v>
      </c>
      <c r="AB11" s="497"/>
      <c r="AC11" s="590"/>
      <c r="AD11" s="498"/>
      <c r="AE11" s="11" t="s">
        <v>12</v>
      </c>
      <c r="AF11" s="504"/>
      <c r="AG11" s="505"/>
      <c r="AH11" s="506"/>
      <c r="AI11" s="18" t="s">
        <v>12</v>
      </c>
      <c r="AJ11" s="554"/>
      <c r="AK11" s="555"/>
      <c r="AL11" s="556"/>
      <c r="AM11" s="19" t="s">
        <v>12</v>
      </c>
      <c r="AN11" s="560"/>
      <c r="AO11" s="561"/>
      <c r="AP11" s="562"/>
      <c r="AQ11" s="3"/>
      <c r="AR11" s="3"/>
      <c r="AS11" s="3"/>
      <c r="AT11" s="3"/>
      <c r="AU11" s="3"/>
      <c r="AV11" s="3"/>
      <c r="AW11" s="3"/>
      <c r="AX11" s="3"/>
      <c r="AY11" s="3"/>
      <c r="AZ11" s="3"/>
    </row>
    <row r="12" spans="1:52" ht="34.950000000000003" customHeight="1" thickBot="1">
      <c r="A12" s="509"/>
      <c r="B12" s="509"/>
      <c r="C12" s="509">
        <v>10</v>
      </c>
      <c r="D12" s="530" t="s">
        <v>22</v>
      </c>
      <c r="E12" s="533" t="s">
        <v>23</v>
      </c>
      <c r="F12" s="522"/>
      <c r="G12" s="522" t="s">
        <v>80</v>
      </c>
      <c r="H12" s="509"/>
      <c r="I12" s="522"/>
      <c r="J12" s="509"/>
      <c r="K12" s="57" t="s">
        <v>13</v>
      </c>
      <c r="L12" s="57">
        <f>SUM(L9:L10)</f>
        <v>124809985.1042833</v>
      </c>
      <c r="M12" s="57">
        <f>SUM(M9:M10)</f>
        <v>22723715.880602643</v>
      </c>
      <c r="N12" s="57">
        <f>SUM(L12:M12)</f>
        <v>147533700.98488593</v>
      </c>
      <c r="O12" s="244" t="s">
        <v>13</v>
      </c>
      <c r="P12" s="244">
        <f>SUM(P9:P10)</f>
        <v>99674847.060013622</v>
      </c>
      <c r="Q12" s="244">
        <f>SUM(Q9:Q10)</f>
        <v>30377137.897231229</v>
      </c>
      <c r="R12" s="244">
        <f>SUM(P12:Q12)</f>
        <v>130051984.95724484</v>
      </c>
      <c r="S12" s="245" t="s">
        <v>13</v>
      </c>
      <c r="T12" s="586"/>
      <c r="U12" s="587"/>
      <c r="V12" s="588"/>
      <c r="W12" s="246" t="s">
        <v>13</v>
      </c>
      <c r="X12" s="579"/>
      <c r="Y12" s="580"/>
      <c r="Z12" s="581"/>
      <c r="AA12" s="57" t="s">
        <v>18</v>
      </c>
      <c r="AB12" s="591"/>
      <c r="AC12" s="592"/>
      <c r="AD12" s="593"/>
      <c r="AE12" s="244" t="s">
        <v>18</v>
      </c>
      <c r="AF12" s="510"/>
      <c r="AG12" s="511"/>
      <c r="AH12" s="512"/>
      <c r="AI12" s="245" t="s">
        <v>18</v>
      </c>
      <c r="AJ12" s="586"/>
      <c r="AK12" s="587"/>
      <c r="AL12" s="588"/>
      <c r="AM12" s="246" t="s">
        <v>18</v>
      </c>
      <c r="AN12" s="579"/>
      <c r="AO12" s="580"/>
      <c r="AP12" s="581"/>
      <c r="AQ12" s="3"/>
      <c r="AR12" s="3"/>
      <c r="AS12" s="3"/>
      <c r="AT12" s="3"/>
      <c r="AU12" s="3"/>
      <c r="AV12" s="3"/>
      <c r="AW12" s="3"/>
      <c r="AX12" s="3"/>
      <c r="AY12" s="3"/>
      <c r="AZ12" s="3"/>
    </row>
    <row r="13" spans="1:52" ht="34.950000000000003" customHeight="1">
      <c r="A13" s="492" t="s">
        <v>113</v>
      </c>
      <c r="B13" s="517" t="s">
        <v>523</v>
      </c>
      <c r="C13" s="492" t="s">
        <v>24</v>
      </c>
      <c r="D13" s="518" t="s">
        <v>25</v>
      </c>
      <c r="E13" s="527" t="s">
        <v>26</v>
      </c>
      <c r="F13" s="515" t="s">
        <v>78</v>
      </c>
      <c r="G13" s="515" t="s">
        <v>80</v>
      </c>
      <c r="H13" s="492" t="s">
        <v>87</v>
      </c>
      <c r="I13" s="515" t="s">
        <v>90</v>
      </c>
      <c r="J13" s="492" t="s">
        <v>111</v>
      </c>
      <c r="K13" s="15"/>
      <c r="L13" s="15" t="s">
        <v>9</v>
      </c>
      <c r="M13" s="15" t="s">
        <v>10</v>
      </c>
      <c r="N13" s="15" t="s">
        <v>13</v>
      </c>
      <c r="O13" s="8"/>
      <c r="P13" s="8" t="s">
        <v>9</v>
      </c>
      <c r="Q13" s="8" t="s">
        <v>10</v>
      </c>
      <c r="R13" s="8" t="s">
        <v>13</v>
      </c>
      <c r="S13" s="16"/>
      <c r="T13" s="16" t="s">
        <v>9</v>
      </c>
      <c r="U13" s="16" t="s">
        <v>10</v>
      </c>
      <c r="V13" s="16" t="s">
        <v>13</v>
      </c>
      <c r="W13" s="17"/>
      <c r="X13" s="17" t="s">
        <v>9</v>
      </c>
      <c r="Y13" s="17" t="s">
        <v>10</v>
      </c>
      <c r="Z13" s="17" t="s">
        <v>13</v>
      </c>
      <c r="AA13" s="15"/>
      <c r="AB13" s="15" t="s">
        <v>9</v>
      </c>
      <c r="AC13" s="15" t="s">
        <v>10</v>
      </c>
      <c r="AD13" s="15" t="s">
        <v>18</v>
      </c>
      <c r="AE13" s="8"/>
      <c r="AF13" s="8" t="s">
        <v>9</v>
      </c>
      <c r="AG13" s="8" t="s">
        <v>10</v>
      </c>
      <c r="AH13" s="8" t="s">
        <v>18</v>
      </c>
      <c r="AI13" s="16"/>
      <c r="AJ13" s="16" t="s">
        <v>9</v>
      </c>
      <c r="AK13" s="16" t="s">
        <v>10</v>
      </c>
      <c r="AL13" s="16" t="s">
        <v>18</v>
      </c>
      <c r="AM13" s="17"/>
      <c r="AN13" s="17" t="s">
        <v>9</v>
      </c>
      <c r="AO13" s="17" t="s">
        <v>10</v>
      </c>
      <c r="AP13" s="17" t="s">
        <v>18</v>
      </c>
      <c r="AQ13" s="3"/>
      <c r="AR13" s="3"/>
      <c r="AS13" s="3"/>
      <c r="AT13" s="3"/>
      <c r="AU13" s="3"/>
      <c r="AV13" s="3"/>
      <c r="AW13" s="3"/>
      <c r="AX13" s="3"/>
      <c r="AY13" s="3"/>
      <c r="AZ13" s="3"/>
    </row>
    <row r="14" spans="1:52" ht="34.950000000000003" customHeight="1">
      <c r="A14" s="493"/>
      <c r="B14" s="493"/>
      <c r="C14" s="493" t="s">
        <v>24</v>
      </c>
      <c r="D14" s="519" t="s">
        <v>25</v>
      </c>
      <c r="E14" s="526" t="s">
        <v>26</v>
      </c>
      <c r="F14" s="514"/>
      <c r="G14" s="514" t="s">
        <v>80</v>
      </c>
      <c r="H14" s="493"/>
      <c r="I14" s="514"/>
      <c r="J14" s="493"/>
      <c r="K14" s="10" t="s">
        <v>11</v>
      </c>
      <c r="L14" s="10">
        <f>ID_11!B34</f>
        <v>17917014.454246953</v>
      </c>
      <c r="M14" s="10">
        <f>ID_11!C34</f>
        <v>3535430.9801423945</v>
      </c>
      <c r="N14" s="10">
        <f>SUM(L14:M14)</f>
        <v>21452445.434389349</v>
      </c>
      <c r="O14" s="11" t="s">
        <v>11</v>
      </c>
      <c r="P14" s="11">
        <f>ID_11!F34</f>
        <v>266529770.09075165</v>
      </c>
      <c r="Q14" s="11">
        <f>ID_11!G34</f>
        <v>35006756.991174206</v>
      </c>
      <c r="R14" s="11">
        <f>SUM(P14:Q14)</f>
        <v>301536527.08192587</v>
      </c>
      <c r="S14" s="18" t="s">
        <v>11</v>
      </c>
      <c r="T14" s="551" t="s">
        <v>114</v>
      </c>
      <c r="U14" s="552"/>
      <c r="V14" s="553"/>
      <c r="W14" s="19" t="s">
        <v>11</v>
      </c>
      <c r="X14" s="557" t="s">
        <v>114</v>
      </c>
      <c r="Y14" s="558"/>
      <c r="Z14" s="559"/>
      <c r="AA14" s="10" t="s">
        <v>11</v>
      </c>
      <c r="AB14" s="495" t="s">
        <v>114</v>
      </c>
      <c r="AC14" s="589"/>
      <c r="AD14" s="496"/>
      <c r="AE14" s="11" t="s">
        <v>11</v>
      </c>
      <c r="AF14" s="501" t="s">
        <v>114</v>
      </c>
      <c r="AG14" s="502"/>
      <c r="AH14" s="503"/>
      <c r="AI14" s="18" t="s">
        <v>11</v>
      </c>
      <c r="AJ14" s="551" t="s">
        <v>114</v>
      </c>
      <c r="AK14" s="552"/>
      <c r="AL14" s="553"/>
      <c r="AM14" s="19" t="s">
        <v>11</v>
      </c>
      <c r="AN14" s="557" t="s">
        <v>114</v>
      </c>
      <c r="AO14" s="558"/>
      <c r="AP14" s="559"/>
      <c r="AQ14" s="3"/>
      <c r="AR14" s="3"/>
      <c r="AS14" s="3"/>
      <c r="AT14" s="3"/>
      <c r="AU14" s="3"/>
      <c r="AV14" s="3"/>
      <c r="AW14" s="3"/>
      <c r="AX14" s="3"/>
      <c r="AY14" s="3"/>
      <c r="AZ14" s="3"/>
    </row>
    <row r="15" spans="1:52" ht="34.950000000000003" customHeight="1">
      <c r="A15" s="493"/>
      <c r="B15" s="493"/>
      <c r="C15" s="493" t="s">
        <v>24</v>
      </c>
      <c r="D15" s="519" t="s">
        <v>25</v>
      </c>
      <c r="E15" s="526" t="s">
        <v>26</v>
      </c>
      <c r="F15" s="514"/>
      <c r="G15" s="514" t="s">
        <v>80</v>
      </c>
      <c r="H15" s="493"/>
      <c r="I15" s="514"/>
      <c r="J15" s="493"/>
      <c r="K15" s="9" t="s">
        <v>14</v>
      </c>
      <c r="L15" s="9">
        <f>ID_11!B35</f>
        <v>43835475.126216553</v>
      </c>
      <c r="M15" s="9">
        <f>ID_11!C35</f>
        <v>8569890.3867243677</v>
      </c>
      <c r="N15" s="9">
        <f t="shared" ref="N15:N17" si="0">SUM(L15:M15)</f>
        <v>52405365.512940921</v>
      </c>
      <c r="O15" s="6" t="s">
        <v>14</v>
      </c>
      <c r="P15" s="6">
        <f>ID_11!F35</f>
        <v>214060734.56748953</v>
      </c>
      <c r="Q15" s="6">
        <f>ID_11!G35</f>
        <v>41109290.898502901</v>
      </c>
      <c r="R15" s="6">
        <f>SUM(P15:Q15)</f>
        <v>255170025.46599245</v>
      </c>
      <c r="S15" s="13" t="s">
        <v>14</v>
      </c>
      <c r="T15" s="554"/>
      <c r="U15" s="555"/>
      <c r="V15" s="556"/>
      <c r="W15" s="14" t="s">
        <v>14</v>
      </c>
      <c r="X15" s="560"/>
      <c r="Y15" s="561"/>
      <c r="Z15" s="562"/>
      <c r="AA15" s="9" t="s">
        <v>14</v>
      </c>
      <c r="AB15" s="497"/>
      <c r="AC15" s="590"/>
      <c r="AD15" s="498"/>
      <c r="AE15" s="6" t="s">
        <v>14</v>
      </c>
      <c r="AF15" s="504"/>
      <c r="AG15" s="505"/>
      <c r="AH15" s="506"/>
      <c r="AI15" s="13" t="s">
        <v>14</v>
      </c>
      <c r="AJ15" s="554"/>
      <c r="AK15" s="555"/>
      <c r="AL15" s="556"/>
      <c r="AM15" s="14" t="s">
        <v>14</v>
      </c>
      <c r="AN15" s="560"/>
      <c r="AO15" s="561"/>
      <c r="AP15" s="562"/>
      <c r="AQ15" s="3"/>
      <c r="AR15" s="3"/>
      <c r="AS15" s="3"/>
      <c r="AT15" s="3"/>
      <c r="AU15" s="3"/>
      <c r="AV15" s="3"/>
      <c r="AW15" s="3"/>
      <c r="AX15" s="3"/>
      <c r="AY15" s="3"/>
      <c r="AZ15" s="3"/>
    </row>
    <row r="16" spans="1:52" ht="34.950000000000003" customHeight="1">
      <c r="A16" s="493"/>
      <c r="B16" s="493"/>
      <c r="C16" s="493" t="s">
        <v>24</v>
      </c>
      <c r="D16" s="519" t="s">
        <v>25</v>
      </c>
      <c r="E16" s="526" t="s">
        <v>26</v>
      </c>
      <c r="F16" s="514"/>
      <c r="G16" s="514" t="s">
        <v>80</v>
      </c>
      <c r="H16" s="493"/>
      <c r="I16" s="514"/>
      <c r="J16" s="493"/>
      <c r="K16" s="10" t="s">
        <v>12</v>
      </c>
      <c r="L16" s="582" t="s">
        <v>114</v>
      </c>
      <c r="M16" s="583"/>
      <c r="N16" s="10"/>
      <c r="O16" s="11" t="s">
        <v>12</v>
      </c>
      <c r="P16" s="584" t="s">
        <v>114</v>
      </c>
      <c r="Q16" s="585"/>
      <c r="R16" s="11"/>
      <c r="S16" s="18" t="s">
        <v>12</v>
      </c>
      <c r="T16" s="554"/>
      <c r="U16" s="555"/>
      <c r="V16" s="556"/>
      <c r="W16" s="19" t="s">
        <v>12</v>
      </c>
      <c r="X16" s="560"/>
      <c r="Y16" s="561"/>
      <c r="Z16" s="562"/>
      <c r="AA16" s="10" t="s">
        <v>12</v>
      </c>
      <c r="AB16" s="497"/>
      <c r="AC16" s="590"/>
      <c r="AD16" s="498"/>
      <c r="AE16" s="11" t="s">
        <v>12</v>
      </c>
      <c r="AF16" s="504"/>
      <c r="AG16" s="505"/>
      <c r="AH16" s="506"/>
      <c r="AI16" s="18" t="s">
        <v>12</v>
      </c>
      <c r="AJ16" s="554"/>
      <c r="AK16" s="555"/>
      <c r="AL16" s="556"/>
      <c r="AM16" s="19" t="s">
        <v>12</v>
      </c>
      <c r="AN16" s="560"/>
      <c r="AO16" s="561"/>
      <c r="AP16" s="562"/>
      <c r="AQ16" s="3"/>
      <c r="AR16" s="3"/>
      <c r="AS16" s="3"/>
      <c r="AT16" s="3"/>
      <c r="AU16" s="3"/>
      <c r="AV16" s="3"/>
      <c r="AW16" s="3"/>
      <c r="AX16" s="3"/>
      <c r="AY16" s="3"/>
      <c r="AZ16" s="3"/>
    </row>
    <row r="17" spans="1:52" ht="34.950000000000003" customHeight="1" thickBot="1">
      <c r="A17" s="493"/>
      <c r="B17" s="493"/>
      <c r="C17" s="493" t="s">
        <v>24</v>
      </c>
      <c r="D17" s="519" t="s">
        <v>25</v>
      </c>
      <c r="E17" s="526" t="s">
        <v>26</v>
      </c>
      <c r="F17" s="514"/>
      <c r="G17" s="514" t="s">
        <v>80</v>
      </c>
      <c r="H17" s="493"/>
      <c r="I17" s="514"/>
      <c r="J17" s="493"/>
      <c r="K17" s="9" t="s">
        <v>13</v>
      </c>
      <c r="L17" s="9">
        <f>SUM(L14:L15)</f>
        <v>61752489.580463506</v>
      </c>
      <c r="M17" s="9">
        <f>SUM(M14:M15)</f>
        <v>12105321.366866762</v>
      </c>
      <c r="N17" s="9">
        <f t="shared" si="0"/>
        <v>73857810.947330266</v>
      </c>
      <c r="O17" s="6" t="s">
        <v>13</v>
      </c>
      <c r="P17" s="6">
        <f>SUM(P14:P15)</f>
        <v>480590504.65824115</v>
      </c>
      <c r="Q17" s="6">
        <f>SUM(Q14:Q15)</f>
        <v>76116047.889677107</v>
      </c>
      <c r="R17" s="6">
        <f>SUM(P17:Q17)</f>
        <v>556706552.54791832</v>
      </c>
      <c r="S17" s="13" t="s">
        <v>13</v>
      </c>
      <c r="T17" s="554"/>
      <c r="U17" s="555"/>
      <c r="V17" s="556"/>
      <c r="W17" s="14" t="s">
        <v>13</v>
      </c>
      <c r="X17" s="560"/>
      <c r="Y17" s="561"/>
      <c r="Z17" s="562"/>
      <c r="AA17" s="9" t="s">
        <v>18</v>
      </c>
      <c r="AB17" s="497"/>
      <c r="AC17" s="590"/>
      <c r="AD17" s="498"/>
      <c r="AE17" s="6" t="s">
        <v>18</v>
      </c>
      <c r="AF17" s="510"/>
      <c r="AG17" s="511"/>
      <c r="AH17" s="512"/>
      <c r="AI17" s="13" t="s">
        <v>18</v>
      </c>
      <c r="AJ17" s="554"/>
      <c r="AK17" s="555"/>
      <c r="AL17" s="556"/>
      <c r="AM17" s="14" t="s">
        <v>17</v>
      </c>
      <c r="AN17" s="560"/>
      <c r="AO17" s="561"/>
      <c r="AP17" s="562"/>
      <c r="AQ17" s="3"/>
      <c r="AR17" s="3"/>
      <c r="AS17" s="3"/>
      <c r="AT17" s="3"/>
      <c r="AU17" s="3"/>
      <c r="AV17" s="3"/>
      <c r="AW17" s="3"/>
      <c r="AX17" s="3"/>
      <c r="AY17" s="3"/>
      <c r="AZ17" s="3"/>
    </row>
    <row r="18" spans="1:52" ht="34.950000000000003" customHeight="1">
      <c r="A18" s="507" t="s">
        <v>113</v>
      </c>
      <c r="B18" s="535" t="s">
        <v>523</v>
      </c>
      <c r="C18" s="507">
        <v>12</v>
      </c>
      <c r="D18" s="528" t="s">
        <v>27</v>
      </c>
      <c r="E18" s="531" t="s">
        <v>28</v>
      </c>
      <c r="F18" s="520" t="s">
        <v>166</v>
      </c>
      <c r="G18" s="520" t="s">
        <v>81</v>
      </c>
      <c r="H18" s="507" t="s">
        <v>87</v>
      </c>
      <c r="I18" s="520" t="s">
        <v>91</v>
      </c>
      <c r="J18" s="507">
        <v>2020</v>
      </c>
      <c r="K18" s="12"/>
      <c r="L18" s="12" t="s">
        <v>9</v>
      </c>
      <c r="M18" s="12" t="s">
        <v>10</v>
      </c>
      <c r="N18" s="12" t="s">
        <v>13</v>
      </c>
      <c r="O18" s="7"/>
      <c r="P18" s="7" t="s">
        <v>9</v>
      </c>
      <c r="Q18" s="7" t="s">
        <v>10</v>
      </c>
      <c r="R18" s="7" t="s">
        <v>13</v>
      </c>
      <c r="S18" s="20"/>
      <c r="T18" s="20" t="s">
        <v>9</v>
      </c>
      <c r="U18" s="20" t="s">
        <v>10</v>
      </c>
      <c r="V18" s="20" t="s">
        <v>13</v>
      </c>
      <c r="W18" s="21"/>
      <c r="X18" s="21" t="s">
        <v>9</v>
      </c>
      <c r="Y18" s="21" t="s">
        <v>10</v>
      </c>
      <c r="Z18" s="21" t="s">
        <v>13</v>
      </c>
      <c r="AA18" s="12"/>
      <c r="AB18" s="12" t="s">
        <v>9</v>
      </c>
      <c r="AC18" s="12" t="s">
        <v>10</v>
      </c>
      <c r="AD18" s="12" t="s">
        <v>18</v>
      </c>
      <c r="AE18" s="7"/>
      <c r="AF18" s="7" t="s">
        <v>9</v>
      </c>
      <c r="AG18" s="7" t="s">
        <v>10</v>
      </c>
      <c r="AH18" s="7" t="s">
        <v>18</v>
      </c>
      <c r="AI18" s="20"/>
      <c r="AJ18" s="20" t="s">
        <v>9</v>
      </c>
      <c r="AK18" s="20" t="s">
        <v>10</v>
      </c>
      <c r="AL18" s="20" t="s">
        <v>18</v>
      </c>
      <c r="AM18" s="21"/>
      <c r="AN18" s="21" t="s">
        <v>9</v>
      </c>
      <c r="AO18" s="21" t="s">
        <v>10</v>
      </c>
      <c r="AP18" s="21" t="s">
        <v>18</v>
      </c>
      <c r="AQ18" s="3"/>
      <c r="AR18" s="3"/>
      <c r="AS18" s="3"/>
      <c r="AT18" s="3"/>
      <c r="AU18" s="3"/>
      <c r="AV18" s="3"/>
      <c r="AW18" s="3"/>
      <c r="AX18" s="3"/>
      <c r="AY18" s="3"/>
      <c r="AZ18" s="3"/>
    </row>
    <row r="19" spans="1:52" ht="34.950000000000003" customHeight="1">
      <c r="A19" s="508"/>
      <c r="B19" s="536"/>
      <c r="C19" s="508">
        <v>12</v>
      </c>
      <c r="D19" s="529" t="s">
        <v>27</v>
      </c>
      <c r="E19" s="532" t="s">
        <v>28</v>
      </c>
      <c r="F19" s="521"/>
      <c r="G19" s="521" t="s">
        <v>81</v>
      </c>
      <c r="H19" s="508"/>
      <c r="I19" s="521"/>
      <c r="J19" s="508"/>
      <c r="K19" s="10" t="s">
        <v>11</v>
      </c>
      <c r="L19" s="495" t="s">
        <v>114</v>
      </c>
      <c r="M19" s="496"/>
      <c r="N19" s="10">
        <f>ID_12!B25</f>
        <v>1715540198.733</v>
      </c>
      <c r="O19" s="11" t="s">
        <v>11</v>
      </c>
      <c r="P19" s="501" t="s">
        <v>114</v>
      </c>
      <c r="Q19" s="502"/>
      <c r="R19" s="503"/>
      <c r="S19" s="18" t="s">
        <v>11</v>
      </c>
      <c r="T19" s="551" t="s">
        <v>114</v>
      </c>
      <c r="U19" s="552"/>
      <c r="V19" s="553"/>
      <c r="W19" s="19" t="s">
        <v>11</v>
      </c>
      <c r="X19" s="557" t="s">
        <v>114</v>
      </c>
      <c r="Y19" s="558"/>
      <c r="Z19" s="559"/>
      <c r="AA19" s="10" t="s">
        <v>11</v>
      </c>
      <c r="AB19" s="495" t="s">
        <v>114</v>
      </c>
      <c r="AC19" s="589"/>
      <c r="AD19" s="496"/>
      <c r="AE19" s="11" t="s">
        <v>11</v>
      </c>
      <c r="AF19" s="501" t="s">
        <v>114</v>
      </c>
      <c r="AG19" s="502"/>
      <c r="AH19" s="503"/>
      <c r="AI19" s="18" t="s">
        <v>11</v>
      </c>
      <c r="AJ19" s="551" t="s">
        <v>114</v>
      </c>
      <c r="AK19" s="552"/>
      <c r="AL19" s="553"/>
      <c r="AM19" s="19" t="s">
        <v>11</v>
      </c>
      <c r="AN19" s="557" t="s">
        <v>114</v>
      </c>
      <c r="AO19" s="558"/>
      <c r="AP19" s="559"/>
      <c r="AQ19" s="3"/>
      <c r="AR19" s="3"/>
      <c r="AS19" s="3"/>
      <c r="AT19" s="3"/>
      <c r="AU19" s="3"/>
      <c r="AV19" s="3"/>
      <c r="AW19" s="3"/>
      <c r="AX19" s="3"/>
      <c r="AY19" s="3"/>
      <c r="AZ19" s="3"/>
    </row>
    <row r="20" spans="1:52" ht="34.950000000000003" customHeight="1">
      <c r="A20" s="508"/>
      <c r="B20" s="536"/>
      <c r="C20" s="508">
        <v>12</v>
      </c>
      <c r="D20" s="529" t="s">
        <v>27</v>
      </c>
      <c r="E20" s="532" t="s">
        <v>28</v>
      </c>
      <c r="F20" s="521"/>
      <c r="G20" s="521" t="s">
        <v>81</v>
      </c>
      <c r="H20" s="508"/>
      <c r="I20" s="521"/>
      <c r="J20" s="508"/>
      <c r="K20" s="9" t="s">
        <v>14</v>
      </c>
      <c r="L20" s="497"/>
      <c r="M20" s="498"/>
      <c r="N20" s="9">
        <f>ID_12!B26</f>
        <v>8141194637.5</v>
      </c>
      <c r="O20" s="6" t="s">
        <v>14</v>
      </c>
      <c r="P20" s="504"/>
      <c r="Q20" s="505"/>
      <c r="R20" s="506"/>
      <c r="S20" s="13" t="s">
        <v>14</v>
      </c>
      <c r="T20" s="554"/>
      <c r="U20" s="555"/>
      <c r="V20" s="556"/>
      <c r="W20" s="14" t="s">
        <v>14</v>
      </c>
      <c r="X20" s="560"/>
      <c r="Y20" s="561"/>
      <c r="Z20" s="562"/>
      <c r="AA20" s="9" t="s">
        <v>14</v>
      </c>
      <c r="AB20" s="497"/>
      <c r="AC20" s="590"/>
      <c r="AD20" s="498"/>
      <c r="AE20" s="6" t="s">
        <v>14</v>
      </c>
      <c r="AF20" s="504"/>
      <c r="AG20" s="505"/>
      <c r="AH20" s="506"/>
      <c r="AI20" s="13" t="s">
        <v>14</v>
      </c>
      <c r="AJ20" s="554"/>
      <c r="AK20" s="555"/>
      <c r="AL20" s="556"/>
      <c r="AM20" s="14" t="s">
        <v>14</v>
      </c>
      <c r="AN20" s="560"/>
      <c r="AO20" s="561"/>
      <c r="AP20" s="562"/>
      <c r="AQ20" s="3"/>
      <c r="AR20" s="3"/>
      <c r="AS20" s="3"/>
      <c r="AT20" s="3"/>
      <c r="AU20" s="3"/>
      <c r="AV20" s="3"/>
      <c r="AW20" s="3"/>
      <c r="AX20" s="3"/>
      <c r="AY20" s="3"/>
      <c r="AZ20" s="3"/>
    </row>
    <row r="21" spans="1:52" ht="34.950000000000003" customHeight="1">
      <c r="A21" s="508"/>
      <c r="B21" s="536"/>
      <c r="C21" s="508">
        <v>12</v>
      </c>
      <c r="D21" s="529" t="s">
        <v>27</v>
      </c>
      <c r="E21" s="532" t="s">
        <v>28</v>
      </c>
      <c r="F21" s="521"/>
      <c r="G21" s="521" t="s">
        <v>81</v>
      </c>
      <c r="H21" s="508"/>
      <c r="I21" s="521"/>
      <c r="J21" s="508"/>
      <c r="K21" s="10" t="s">
        <v>12</v>
      </c>
      <c r="L21" s="499"/>
      <c r="M21" s="500"/>
      <c r="N21" s="10">
        <f>ID_12!B27</f>
        <v>9923556154</v>
      </c>
      <c r="O21" s="11" t="s">
        <v>12</v>
      </c>
      <c r="P21" s="504"/>
      <c r="Q21" s="505"/>
      <c r="R21" s="506"/>
      <c r="S21" s="18" t="s">
        <v>12</v>
      </c>
      <c r="T21" s="554"/>
      <c r="U21" s="555"/>
      <c r="V21" s="556"/>
      <c r="W21" s="19" t="s">
        <v>12</v>
      </c>
      <c r="X21" s="560"/>
      <c r="Y21" s="561"/>
      <c r="Z21" s="562"/>
      <c r="AA21" s="10" t="s">
        <v>12</v>
      </c>
      <c r="AB21" s="497"/>
      <c r="AC21" s="590"/>
      <c r="AD21" s="498"/>
      <c r="AE21" s="11" t="s">
        <v>12</v>
      </c>
      <c r="AF21" s="504"/>
      <c r="AG21" s="505"/>
      <c r="AH21" s="506"/>
      <c r="AI21" s="18" t="s">
        <v>12</v>
      </c>
      <c r="AJ21" s="554"/>
      <c r="AK21" s="555"/>
      <c r="AL21" s="556"/>
      <c r="AM21" s="19" t="s">
        <v>12</v>
      </c>
      <c r="AN21" s="560"/>
      <c r="AO21" s="561"/>
      <c r="AP21" s="562"/>
      <c r="AQ21" s="3"/>
      <c r="AR21" s="3"/>
      <c r="AS21" s="3"/>
      <c r="AT21" s="3"/>
      <c r="AU21" s="3"/>
      <c r="AV21" s="3"/>
      <c r="AW21" s="3"/>
      <c r="AX21" s="3"/>
      <c r="AY21" s="3"/>
      <c r="AZ21" s="3"/>
    </row>
    <row r="22" spans="1:52" ht="34.950000000000003" customHeight="1" thickBot="1">
      <c r="A22" s="509"/>
      <c r="B22" s="537"/>
      <c r="C22" s="509">
        <v>12</v>
      </c>
      <c r="D22" s="530" t="s">
        <v>27</v>
      </c>
      <c r="E22" s="533" t="s">
        <v>28</v>
      </c>
      <c r="F22" s="522"/>
      <c r="G22" s="522" t="s">
        <v>81</v>
      </c>
      <c r="H22" s="509"/>
      <c r="I22" s="522"/>
      <c r="J22" s="509"/>
      <c r="K22" s="57" t="s">
        <v>13</v>
      </c>
      <c r="L22" s="57"/>
      <c r="M22" s="57"/>
      <c r="N22" s="57">
        <f>SUM(N19:N21)</f>
        <v>19780290990.233002</v>
      </c>
      <c r="O22" s="244" t="s">
        <v>13</v>
      </c>
      <c r="P22" s="510"/>
      <c r="Q22" s="511"/>
      <c r="R22" s="512"/>
      <c r="S22" s="245" t="s">
        <v>13</v>
      </c>
      <c r="T22" s="586"/>
      <c r="U22" s="587"/>
      <c r="V22" s="588"/>
      <c r="W22" s="246" t="s">
        <v>13</v>
      </c>
      <c r="X22" s="579"/>
      <c r="Y22" s="580"/>
      <c r="Z22" s="581"/>
      <c r="AA22" s="57" t="s">
        <v>18</v>
      </c>
      <c r="AB22" s="591"/>
      <c r="AC22" s="592"/>
      <c r="AD22" s="593"/>
      <c r="AE22" s="244" t="s">
        <v>18</v>
      </c>
      <c r="AF22" s="510"/>
      <c r="AG22" s="511"/>
      <c r="AH22" s="512"/>
      <c r="AI22" s="245" t="s">
        <v>18</v>
      </c>
      <c r="AJ22" s="586"/>
      <c r="AK22" s="587"/>
      <c r="AL22" s="588"/>
      <c r="AM22" s="246" t="s">
        <v>18</v>
      </c>
      <c r="AN22" s="579"/>
      <c r="AO22" s="580"/>
      <c r="AP22" s="581"/>
      <c r="AQ22" s="3"/>
      <c r="AR22" s="3"/>
      <c r="AS22" s="3"/>
      <c r="AT22" s="3"/>
      <c r="AU22" s="3"/>
      <c r="AV22" s="3"/>
      <c r="AW22" s="3"/>
      <c r="AX22" s="3"/>
      <c r="AY22" s="3"/>
      <c r="AZ22" s="3"/>
    </row>
    <row r="23" spans="1:52" ht="34.950000000000003" customHeight="1">
      <c r="A23" s="492" t="s">
        <v>113</v>
      </c>
      <c r="B23" s="517" t="s">
        <v>523</v>
      </c>
      <c r="C23" s="492" t="s">
        <v>29</v>
      </c>
      <c r="D23" s="518" t="s">
        <v>30</v>
      </c>
      <c r="E23" s="527" t="s">
        <v>31</v>
      </c>
      <c r="F23" s="515" t="s">
        <v>166</v>
      </c>
      <c r="G23" s="515" t="s">
        <v>81</v>
      </c>
      <c r="H23" s="492" t="s">
        <v>87</v>
      </c>
      <c r="I23" s="515" t="s">
        <v>92</v>
      </c>
      <c r="J23" s="492" t="s">
        <v>112</v>
      </c>
      <c r="K23" s="15"/>
      <c r="L23" s="15" t="s">
        <v>9</v>
      </c>
      <c r="M23" s="15" t="s">
        <v>10</v>
      </c>
      <c r="N23" s="15" t="s">
        <v>13</v>
      </c>
      <c r="O23" s="8"/>
      <c r="P23" s="8" t="s">
        <v>9</v>
      </c>
      <c r="Q23" s="8" t="s">
        <v>10</v>
      </c>
      <c r="R23" s="8" t="s">
        <v>13</v>
      </c>
      <c r="S23" s="16"/>
      <c r="T23" s="16" t="s">
        <v>9</v>
      </c>
      <c r="U23" s="16" t="s">
        <v>10</v>
      </c>
      <c r="V23" s="16" t="s">
        <v>13</v>
      </c>
      <c r="W23" s="17"/>
      <c r="X23" s="17" t="s">
        <v>9</v>
      </c>
      <c r="Y23" s="17" t="s">
        <v>10</v>
      </c>
      <c r="Z23" s="17" t="s">
        <v>13</v>
      </c>
      <c r="AA23" s="15"/>
      <c r="AB23" s="15" t="s">
        <v>9</v>
      </c>
      <c r="AC23" s="15" t="s">
        <v>10</v>
      </c>
      <c r="AD23" s="15" t="s">
        <v>18</v>
      </c>
      <c r="AE23" s="8"/>
      <c r="AF23" s="8" t="s">
        <v>9</v>
      </c>
      <c r="AG23" s="8" t="s">
        <v>10</v>
      </c>
      <c r="AH23" s="8" t="s">
        <v>18</v>
      </c>
      <c r="AI23" s="16"/>
      <c r="AJ23" s="16" t="s">
        <v>9</v>
      </c>
      <c r="AK23" s="16" t="s">
        <v>10</v>
      </c>
      <c r="AL23" s="16" t="s">
        <v>18</v>
      </c>
      <c r="AM23" s="17"/>
      <c r="AN23" s="17" t="s">
        <v>9</v>
      </c>
      <c r="AO23" s="17" t="s">
        <v>10</v>
      </c>
      <c r="AP23" s="17" t="s">
        <v>18</v>
      </c>
      <c r="AQ23" s="3"/>
      <c r="AR23" s="3"/>
      <c r="AS23" s="3"/>
      <c r="AT23" s="3"/>
      <c r="AU23" s="3"/>
      <c r="AV23" s="3"/>
      <c r="AW23" s="3"/>
      <c r="AX23" s="3"/>
      <c r="AY23" s="3"/>
      <c r="AZ23" s="3"/>
    </row>
    <row r="24" spans="1:52" ht="34.950000000000003" customHeight="1">
      <c r="A24" s="493"/>
      <c r="B24" s="493"/>
      <c r="C24" s="493" t="s">
        <v>29</v>
      </c>
      <c r="D24" s="519" t="s">
        <v>30</v>
      </c>
      <c r="E24" s="526" t="s">
        <v>31</v>
      </c>
      <c r="F24" s="514"/>
      <c r="G24" s="514" t="s">
        <v>81</v>
      </c>
      <c r="H24" s="493"/>
      <c r="I24" s="514"/>
      <c r="J24" s="493"/>
      <c r="K24" s="10" t="s">
        <v>11</v>
      </c>
      <c r="L24" s="495" t="s">
        <v>114</v>
      </c>
      <c r="M24" s="496"/>
      <c r="N24" s="10">
        <f>ID_13!B18</f>
        <v>1349733507</v>
      </c>
      <c r="O24" s="11" t="s">
        <v>11</v>
      </c>
      <c r="P24" s="501" t="s">
        <v>114</v>
      </c>
      <c r="Q24" s="502"/>
      <c r="R24" s="503"/>
      <c r="S24" s="18" t="s">
        <v>11</v>
      </c>
      <c r="T24" s="551" t="s">
        <v>114</v>
      </c>
      <c r="U24" s="552"/>
      <c r="V24" s="553"/>
      <c r="W24" s="19" t="s">
        <v>11</v>
      </c>
      <c r="X24" s="557" t="s">
        <v>114</v>
      </c>
      <c r="Y24" s="558"/>
      <c r="Z24" s="559"/>
      <c r="AA24" s="10" t="s">
        <v>11</v>
      </c>
      <c r="AB24" s="495" t="s">
        <v>114</v>
      </c>
      <c r="AC24" s="589"/>
      <c r="AD24" s="496"/>
      <c r="AE24" s="11" t="s">
        <v>11</v>
      </c>
      <c r="AF24" s="501" t="s">
        <v>114</v>
      </c>
      <c r="AG24" s="502"/>
      <c r="AH24" s="503"/>
      <c r="AI24" s="18" t="s">
        <v>11</v>
      </c>
      <c r="AJ24" s="551" t="s">
        <v>114</v>
      </c>
      <c r="AK24" s="552"/>
      <c r="AL24" s="553"/>
      <c r="AM24" s="19" t="s">
        <v>11</v>
      </c>
      <c r="AN24" s="557" t="s">
        <v>114</v>
      </c>
      <c r="AO24" s="558"/>
      <c r="AP24" s="559"/>
      <c r="AQ24" s="3"/>
      <c r="AR24" s="3"/>
      <c r="AS24" s="3"/>
      <c r="AT24" s="3"/>
      <c r="AU24" s="3"/>
      <c r="AV24" s="3"/>
      <c r="AW24" s="3"/>
      <c r="AX24" s="3"/>
      <c r="AY24" s="3"/>
      <c r="AZ24" s="3"/>
    </row>
    <row r="25" spans="1:52" ht="34.950000000000003" customHeight="1">
      <c r="A25" s="493"/>
      <c r="B25" s="493"/>
      <c r="C25" s="493" t="s">
        <v>29</v>
      </c>
      <c r="D25" s="519" t="s">
        <v>30</v>
      </c>
      <c r="E25" s="526" t="s">
        <v>31</v>
      </c>
      <c r="F25" s="514"/>
      <c r="G25" s="514" t="s">
        <v>81</v>
      </c>
      <c r="H25" s="493"/>
      <c r="I25" s="514"/>
      <c r="J25" s="493"/>
      <c r="K25" s="9" t="s">
        <v>14</v>
      </c>
      <c r="L25" s="497"/>
      <c r="M25" s="498"/>
      <c r="N25" s="9">
        <f>ID_13!B19</f>
        <v>4328257706</v>
      </c>
      <c r="O25" s="6" t="s">
        <v>14</v>
      </c>
      <c r="P25" s="504"/>
      <c r="Q25" s="505"/>
      <c r="R25" s="506"/>
      <c r="S25" s="13" t="s">
        <v>14</v>
      </c>
      <c r="T25" s="554"/>
      <c r="U25" s="555"/>
      <c r="V25" s="556"/>
      <c r="W25" s="14" t="s">
        <v>14</v>
      </c>
      <c r="X25" s="560"/>
      <c r="Y25" s="561"/>
      <c r="Z25" s="562"/>
      <c r="AA25" s="9" t="s">
        <v>14</v>
      </c>
      <c r="AB25" s="497"/>
      <c r="AC25" s="590"/>
      <c r="AD25" s="498"/>
      <c r="AE25" s="6" t="s">
        <v>14</v>
      </c>
      <c r="AF25" s="504"/>
      <c r="AG25" s="505"/>
      <c r="AH25" s="506"/>
      <c r="AI25" s="13" t="s">
        <v>14</v>
      </c>
      <c r="AJ25" s="554"/>
      <c r="AK25" s="555"/>
      <c r="AL25" s="556"/>
      <c r="AM25" s="14" t="s">
        <v>14</v>
      </c>
      <c r="AN25" s="560"/>
      <c r="AO25" s="561"/>
      <c r="AP25" s="562"/>
      <c r="AQ25" s="3"/>
      <c r="AR25" s="3"/>
      <c r="AS25" s="3"/>
      <c r="AT25" s="3"/>
      <c r="AU25" s="3"/>
      <c r="AV25" s="3"/>
      <c r="AW25" s="3"/>
      <c r="AX25" s="3"/>
      <c r="AY25" s="3"/>
      <c r="AZ25" s="3"/>
    </row>
    <row r="26" spans="1:52" ht="34.950000000000003" customHeight="1">
      <c r="A26" s="493"/>
      <c r="B26" s="493"/>
      <c r="C26" s="493" t="s">
        <v>29</v>
      </c>
      <c r="D26" s="519" t="s">
        <v>30</v>
      </c>
      <c r="E26" s="526" t="s">
        <v>31</v>
      </c>
      <c r="F26" s="514"/>
      <c r="G26" s="514" t="s">
        <v>81</v>
      </c>
      <c r="H26" s="493"/>
      <c r="I26" s="514"/>
      <c r="J26" s="493"/>
      <c r="K26" s="10" t="s">
        <v>12</v>
      </c>
      <c r="L26" s="499"/>
      <c r="M26" s="500"/>
      <c r="N26" s="10">
        <f>ID_13!B20</f>
        <v>3951242899</v>
      </c>
      <c r="O26" s="11" t="s">
        <v>12</v>
      </c>
      <c r="P26" s="504"/>
      <c r="Q26" s="505"/>
      <c r="R26" s="506"/>
      <c r="S26" s="18" t="s">
        <v>12</v>
      </c>
      <c r="T26" s="554"/>
      <c r="U26" s="555"/>
      <c r="V26" s="556"/>
      <c r="W26" s="19" t="s">
        <v>12</v>
      </c>
      <c r="X26" s="560"/>
      <c r="Y26" s="561"/>
      <c r="Z26" s="562"/>
      <c r="AA26" s="10" t="s">
        <v>12</v>
      </c>
      <c r="AB26" s="497"/>
      <c r="AC26" s="590"/>
      <c r="AD26" s="498"/>
      <c r="AE26" s="11" t="s">
        <v>12</v>
      </c>
      <c r="AF26" s="504"/>
      <c r="AG26" s="505"/>
      <c r="AH26" s="506"/>
      <c r="AI26" s="18" t="s">
        <v>12</v>
      </c>
      <c r="AJ26" s="554"/>
      <c r="AK26" s="555"/>
      <c r="AL26" s="556"/>
      <c r="AM26" s="19" t="s">
        <v>12</v>
      </c>
      <c r="AN26" s="560"/>
      <c r="AO26" s="561"/>
      <c r="AP26" s="562"/>
      <c r="AQ26" s="3"/>
      <c r="AR26" s="3"/>
      <c r="AS26" s="3"/>
      <c r="AT26" s="3"/>
      <c r="AU26" s="3"/>
      <c r="AV26" s="3"/>
      <c r="AW26" s="3"/>
      <c r="AX26" s="3"/>
      <c r="AY26" s="3"/>
      <c r="AZ26" s="3"/>
    </row>
    <row r="27" spans="1:52" ht="34.950000000000003" customHeight="1" thickBot="1">
      <c r="A27" s="493"/>
      <c r="B27" s="493"/>
      <c r="C27" s="493" t="s">
        <v>29</v>
      </c>
      <c r="D27" s="519" t="s">
        <v>30</v>
      </c>
      <c r="E27" s="526" t="s">
        <v>31</v>
      </c>
      <c r="F27" s="514"/>
      <c r="G27" s="514" t="s">
        <v>81</v>
      </c>
      <c r="H27" s="493"/>
      <c r="I27" s="514"/>
      <c r="J27" s="493"/>
      <c r="K27" s="9" t="s">
        <v>13</v>
      </c>
      <c r="L27" s="9"/>
      <c r="M27" s="9"/>
      <c r="N27" s="9">
        <f>SUM(N24:N26)</f>
        <v>9629234112</v>
      </c>
      <c r="O27" s="6" t="s">
        <v>13</v>
      </c>
      <c r="P27" s="504"/>
      <c r="Q27" s="505"/>
      <c r="R27" s="506"/>
      <c r="S27" s="13" t="s">
        <v>13</v>
      </c>
      <c r="T27" s="554"/>
      <c r="U27" s="555"/>
      <c r="V27" s="556"/>
      <c r="W27" s="14" t="s">
        <v>13</v>
      </c>
      <c r="X27" s="560"/>
      <c r="Y27" s="561"/>
      <c r="Z27" s="562"/>
      <c r="AA27" s="9" t="s">
        <v>18</v>
      </c>
      <c r="AB27" s="497"/>
      <c r="AC27" s="590"/>
      <c r="AD27" s="498"/>
      <c r="AE27" s="6" t="s">
        <v>18</v>
      </c>
      <c r="AF27" s="504"/>
      <c r="AG27" s="505"/>
      <c r="AH27" s="506"/>
      <c r="AI27" s="13" t="s">
        <v>18</v>
      </c>
      <c r="AJ27" s="554"/>
      <c r="AK27" s="555"/>
      <c r="AL27" s="556"/>
      <c r="AM27" s="14" t="s">
        <v>17</v>
      </c>
      <c r="AN27" s="560"/>
      <c r="AO27" s="561"/>
      <c r="AP27" s="562"/>
      <c r="AQ27" s="3"/>
      <c r="AR27" s="3"/>
      <c r="AS27" s="3"/>
      <c r="AT27" s="3"/>
      <c r="AU27" s="3"/>
      <c r="AV27" s="3"/>
      <c r="AW27" s="3"/>
      <c r="AX27" s="3"/>
      <c r="AY27" s="3"/>
      <c r="AZ27" s="3"/>
    </row>
    <row r="28" spans="1:52" ht="34.950000000000003" customHeight="1">
      <c r="A28" s="507" t="s">
        <v>113</v>
      </c>
      <c r="B28" s="507" t="s">
        <v>523</v>
      </c>
      <c r="C28" s="507">
        <v>14</v>
      </c>
      <c r="D28" s="528" t="s">
        <v>32</v>
      </c>
      <c r="E28" s="531" t="s">
        <v>33</v>
      </c>
      <c r="F28" s="520" t="s">
        <v>166</v>
      </c>
      <c r="G28" s="520" t="s">
        <v>81</v>
      </c>
      <c r="H28" s="507" t="s">
        <v>87</v>
      </c>
      <c r="I28" s="520" t="s">
        <v>93</v>
      </c>
      <c r="J28" s="507">
        <v>2020</v>
      </c>
      <c r="K28" s="12"/>
      <c r="L28" s="12" t="s">
        <v>9</v>
      </c>
      <c r="M28" s="12" t="s">
        <v>10</v>
      </c>
      <c r="N28" s="12" t="s">
        <v>13</v>
      </c>
      <c r="O28" s="7"/>
      <c r="P28" s="7" t="s">
        <v>9</v>
      </c>
      <c r="Q28" s="7" t="s">
        <v>10</v>
      </c>
      <c r="R28" s="7" t="s">
        <v>13</v>
      </c>
      <c r="S28" s="20"/>
      <c r="T28" s="20" t="s">
        <v>9</v>
      </c>
      <c r="U28" s="20" t="s">
        <v>10</v>
      </c>
      <c r="V28" s="20" t="s">
        <v>13</v>
      </c>
      <c r="W28" s="21"/>
      <c r="X28" s="21" t="s">
        <v>9</v>
      </c>
      <c r="Y28" s="21" t="s">
        <v>10</v>
      </c>
      <c r="Z28" s="21" t="s">
        <v>13</v>
      </c>
      <c r="AA28" s="12"/>
      <c r="AB28" s="12" t="s">
        <v>9</v>
      </c>
      <c r="AC28" s="12" t="s">
        <v>10</v>
      </c>
      <c r="AD28" s="12" t="s">
        <v>18</v>
      </c>
      <c r="AE28" s="7"/>
      <c r="AF28" s="7" t="s">
        <v>9</v>
      </c>
      <c r="AG28" s="7" t="s">
        <v>10</v>
      </c>
      <c r="AH28" s="7" t="s">
        <v>18</v>
      </c>
      <c r="AI28" s="20"/>
      <c r="AJ28" s="20" t="s">
        <v>9</v>
      </c>
      <c r="AK28" s="20" t="s">
        <v>10</v>
      </c>
      <c r="AL28" s="20" t="s">
        <v>18</v>
      </c>
      <c r="AM28" s="21"/>
      <c r="AN28" s="21" t="s">
        <v>9</v>
      </c>
      <c r="AO28" s="21" t="s">
        <v>10</v>
      </c>
      <c r="AP28" s="21" t="s">
        <v>18</v>
      </c>
      <c r="AQ28" s="3"/>
      <c r="AR28" s="3"/>
      <c r="AS28" s="3"/>
      <c r="AT28" s="3"/>
      <c r="AU28" s="3"/>
      <c r="AV28" s="3"/>
      <c r="AW28" s="3"/>
      <c r="AX28" s="3"/>
      <c r="AY28" s="3"/>
      <c r="AZ28" s="3"/>
    </row>
    <row r="29" spans="1:52" ht="34.950000000000003" customHeight="1">
      <c r="A29" s="508"/>
      <c r="B29" s="508"/>
      <c r="C29" s="508">
        <v>14</v>
      </c>
      <c r="D29" s="529" t="s">
        <v>32</v>
      </c>
      <c r="E29" s="532" t="s">
        <v>33</v>
      </c>
      <c r="F29" s="521"/>
      <c r="G29" s="521"/>
      <c r="H29" s="508"/>
      <c r="I29" s="521"/>
      <c r="J29" s="508"/>
      <c r="K29" s="10" t="s">
        <v>11</v>
      </c>
      <c r="L29" s="495" t="s">
        <v>114</v>
      </c>
      <c r="M29" s="496"/>
      <c r="N29" s="10">
        <f>ID_14!B17</f>
        <v>31302127</v>
      </c>
      <c r="O29" s="11" t="s">
        <v>11</v>
      </c>
      <c r="P29" s="501" t="s">
        <v>114</v>
      </c>
      <c r="Q29" s="502"/>
      <c r="R29" s="503"/>
      <c r="S29" s="18" t="s">
        <v>11</v>
      </c>
      <c r="T29" s="551" t="s">
        <v>114</v>
      </c>
      <c r="U29" s="552"/>
      <c r="V29" s="553"/>
      <c r="W29" s="19" t="s">
        <v>11</v>
      </c>
      <c r="X29" s="557" t="s">
        <v>114</v>
      </c>
      <c r="Y29" s="558"/>
      <c r="Z29" s="559"/>
      <c r="AA29" s="10" t="s">
        <v>11</v>
      </c>
      <c r="AB29" s="495" t="s">
        <v>114</v>
      </c>
      <c r="AC29" s="589"/>
      <c r="AD29" s="496"/>
      <c r="AE29" s="11" t="s">
        <v>11</v>
      </c>
      <c r="AF29" s="501" t="s">
        <v>114</v>
      </c>
      <c r="AG29" s="502"/>
      <c r="AH29" s="503"/>
      <c r="AI29" s="18" t="s">
        <v>11</v>
      </c>
      <c r="AJ29" s="551" t="s">
        <v>114</v>
      </c>
      <c r="AK29" s="552"/>
      <c r="AL29" s="553"/>
      <c r="AM29" s="19" t="s">
        <v>11</v>
      </c>
      <c r="AN29" s="557" t="s">
        <v>114</v>
      </c>
      <c r="AO29" s="558"/>
      <c r="AP29" s="559"/>
      <c r="AQ29" s="3"/>
      <c r="AR29" s="3"/>
      <c r="AS29" s="3"/>
      <c r="AT29" s="3"/>
      <c r="AU29" s="3"/>
      <c r="AV29" s="3"/>
      <c r="AW29" s="3"/>
      <c r="AX29" s="3"/>
      <c r="AY29" s="3"/>
      <c r="AZ29" s="3"/>
    </row>
    <row r="30" spans="1:52" ht="34.950000000000003" customHeight="1">
      <c r="A30" s="508"/>
      <c r="B30" s="508"/>
      <c r="C30" s="508">
        <v>14</v>
      </c>
      <c r="D30" s="529" t="s">
        <v>32</v>
      </c>
      <c r="E30" s="532" t="s">
        <v>33</v>
      </c>
      <c r="F30" s="521"/>
      <c r="G30" s="521"/>
      <c r="H30" s="508"/>
      <c r="I30" s="521"/>
      <c r="J30" s="508"/>
      <c r="K30" s="9" t="s">
        <v>14</v>
      </c>
      <c r="L30" s="497"/>
      <c r="M30" s="498"/>
      <c r="N30" s="9">
        <f>ID_14!B18</f>
        <v>228979732</v>
      </c>
      <c r="O30" s="6" t="s">
        <v>14</v>
      </c>
      <c r="P30" s="504"/>
      <c r="Q30" s="505"/>
      <c r="R30" s="506"/>
      <c r="S30" s="13" t="s">
        <v>14</v>
      </c>
      <c r="T30" s="554"/>
      <c r="U30" s="555"/>
      <c r="V30" s="556"/>
      <c r="W30" s="14" t="s">
        <v>14</v>
      </c>
      <c r="X30" s="560"/>
      <c r="Y30" s="561"/>
      <c r="Z30" s="562"/>
      <c r="AA30" s="9" t="s">
        <v>14</v>
      </c>
      <c r="AB30" s="497"/>
      <c r="AC30" s="590"/>
      <c r="AD30" s="498"/>
      <c r="AE30" s="6" t="s">
        <v>14</v>
      </c>
      <c r="AF30" s="504"/>
      <c r="AG30" s="505"/>
      <c r="AH30" s="506"/>
      <c r="AI30" s="13" t="s">
        <v>14</v>
      </c>
      <c r="AJ30" s="554"/>
      <c r="AK30" s="555"/>
      <c r="AL30" s="556"/>
      <c r="AM30" s="14" t="s">
        <v>14</v>
      </c>
      <c r="AN30" s="560"/>
      <c r="AO30" s="561"/>
      <c r="AP30" s="562"/>
      <c r="AQ30" s="3"/>
      <c r="AR30" s="3"/>
      <c r="AS30" s="3"/>
      <c r="AT30" s="3"/>
      <c r="AU30" s="3"/>
      <c r="AV30" s="3"/>
      <c r="AW30" s="3"/>
      <c r="AX30" s="3"/>
      <c r="AY30" s="3"/>
      <c r="AZ30" s="3"/>
    </row>
    <row r="31" spans="1:52" ht="34.950000000000003" customHeight="1">
      <c r="A31" s="508"/>
      <c r="B31" s="508"/>
      <c r="C31" s="508">
        <v>14</v>
      </c>
      <c r="D31" s="529" t="s">
        <v>32</v>
      </c>
      <c r="E31" s="532" t="s">
        <v>33</v>
      </c>
      <c r="F31" s="521"/>
      <c r="G31" s="521"/>
      <c r="H31" s="508"/>
      <c r="I31" s="521"/>
      <c r="J31" s="508"/>
      <c r="K31" s="10" t="s">
        <v>12</v>
      </c>
      <c r="L31" s="499"/>
      <c r="M31" s="500"/>
      <c r="N31" s="10">
        <f>ID_14!B19</f>
        <v>1776739314</v>
      </c>
      <c r="O31" s="11" t="s">
        <v>12</v>
      </c>
      <c r="P31" s="504"/>
      <c r="Q31" s="505"/>
      <c r="R31" s="506"/>
      <c r="S31" s="18" t="s">
        <v>12</v>
      </c>
      <c r="T31" s="554"/>
      <c r="U31" s="555"/>
      <c r="V31" s="556"/>
      <c r="W31" s="19" t="s">
        <v>12</v>
      </c>
      <c r="X31" s="560"/>
      <c r="Y31" s="561"/>
      <c r="Z31" s="562"/>
      <c r="AA31" s="10" t="s">
        <v>12</v>
      </c>
      <c r="AB31" s="497"/>
      <c r="AC31" s="590"/>
      <c r="AD31" s="498"/>
      <c r="AE31" s="11" t="s">
        <v>12</v>
      </c>
      <c r="AF31" s="504"/>
      <c r="AG31" s="505"/>
      <c r="AH31" s="506"/>
      <c r="AI31" s="18" t="s">
        <v>12</v>
      </c>
      <c r="AJ31" s="554"/>
      <c r="AK31" s="555"/>
      <c r="AL31" s="556"/>
      <c r="AM31" s="19" t="s">
        <v>12</v>
      </c>
      <c r="AN31" s="560"/>
      <c r="AO31" s="561"/>
      <c r="AP31" s="562"/>
      <c r="AQ31" s="3"/>
      <c r="AR31" s="3"/>
      <c r="AS31" s="3"/>
      <c r="AT31" s="3"/>
      <c r="AU31" s="3"/>
      <c r="AV31" s="3"/>
      <c r="AW31" s="3"/>
      <c r="AX31" s="3"/>
      <c r="AY31" s="3"/>
      <c r="AZ31" s="3"/>
    </row>
    <row r="32" spans="1:52" ht="34.950000000000003" customHeight="1" thickBot="1">
      <c r="A32" s="509"/>
      <c r="B32" s="509"/>
      <c r="C32" s="509">
        <v>14</v>
      </c>
      <c r="D32" s="530" t="s">
        <v>32</v>
      </c>
      <c r="E32" s="533" t="s">
        <v>33</v>
      </c>
      <c r="F32" s="522"/>
      <c r="G32" s="522"/>
      <c r="H32" s="509"/>
      <c r="I32" s="522"/>
      <c r="J32" s="509"/>
      <c r="K32" s="57" t="s">
        <v>13</v>
      </c>
      <c r="L32" s="57"/>
      <c r="M32" s="57"/>
      <c r="N32" s="57">
        <f>SUM(N29:N31)</f>
        <v>2037021173</v>
      </c>
      <c r="O32" s="244" t="s">
        <v>13</v>
      </c>
      <c r="P32" s="510"/>
      <c r="Q32" s="511"/>
      <c r="R32" s="512"/>
      <c r="S32" s="245" t="s">
        <v>13</v>
      </c>
      <c r="T32" s="586"/>
      <c r="U32" s="587"/>
      <c r="V32" s="588"/>
      <c r="W32" s="246" t="s">
        <v>13</v>
      </c>
      <c r="X32" s="579"/>
      <c r="Y32" s="580"/>
      <c r="Z32" s="581"/>
      <c r="AA32" s="57" t="s">
        <v>18</v>
      </c>
      <c r="AB32" s="591"/>
      <c r="AC32" s="592"/>
      <c r="AD32" s="593"/>
      <c r="AE32" s="244" t="s">
        <v>18</v>
      </c>
      <c r="AF32" s="510"/>
      <c r="AG32" s="511"/>
      <c r="AH32" s="512"/>
      <c r="AI32" s="245" t="s">
        <v>18</v>
      </c>
      <c r="AJ32" s="586"/>
      <c r="AK32" s="587"/>
      <c r="AL32" s="588"/>
      <c r="AM32" s="246" t="s">
        <v>18</v>
      </c>
      <c r="AN32" s="579"/>
      <c r="AO32" s="580"/>
      <c r="AP32" s="581"/>
      <c r="AQ32" s="3"/>
      <c r="AR32" s="3"/>
      <c r="AS32" s="3"/>
      <c r="AT32" s="3"/>
      <c r="AU32" s="3"/>
      <c r="AV32" s="3"/>
      <c r="AW32" s="3"/>
      <c r="AX32" s="3"/>
      <c r="AY32" s="3"/>
      <c r="AZ32" s="3"/>
    </row>
    <row r="33" spans="1:52" ht="34.950000000000003" customHeight="1">
      <c r="A33" s="492" t="s">
        <v>113</v>
      </c>
      <c r="B33" s="517" t="s">
        <v>523</v>
      </c>
      <c r="C33" s="492" t="s">
        <v>34</v>
      </c>
      <c r="D33" s="518" t="s">
        <v>35</v>
      </c>
      <c r="E33" s="527" t="s">
        <v>36</v>
      </c>
      <c r="F33" s="515" t="s">
        <v>166</v>
      </c>
      <c r="G33" s="515" t="s">
        <v>81</v>
      </c>
      <c r="H33" s="492" t="s">
        <v>86</v>
      </c>
      <c r="I33" s="515" t="s">
        <v>94</v>
      </c>
      <c r="J33" s="492">
        <v>2020</v>
      </c>
      <c r="K33" s="15"/>
      <c r="L33" s="15" t="s">
        <v>9</v>
      </c>
      <c r="M33" s="15" t="s">
        <v>10</v>
      </c>
      <c r="N33" s="15" t="s">
        <v>13</v>
      </c>
      <c r="O33" s="8"/>
      <c r="P33" s="8" t="s">
        <v>9</v>
      </c>
      <c r="Q33" s="8" t="s">
        <v>10</v>
      </c>
      <c r="R33" s="8" t="s">
        <v>13</v>
      </c>
      <c r="S33" s="16"/>
      <c r="T33" s="16" t="s">
        <v>9</v>
      </c>
      <c r="U33" s="16" t="s">
        <v>10</v>
      </c>
      <c r="V33" s="16" t="s">
        <v>13</v>
      </c>
      <c r="W33" s="17"/>
      <c r="X33" s="17" t="s">
        <v>9</v>
      </c>
      <c r="Y33" s="17" t="s">
        <v>10</v>
      </c>
      <c r="Z33" s="17" t="s">
        <v>13</v>
      </c>
      <c r="AA33" s="15"/>
      <c r="AB33" s="15" t="s">
        <v>9</v>
      </c>
      <c r="AC33" s="15" t="s">
        <v>10</v>
      </c>
      <c r="AD33" s="15" t="s">
        <v>18</v>
      </c>
      <c r="AE33" s="8"/>
      <c r="AF33" s="8" t="s">
        <v>9</v>
      </c>
      <c r="AG33" s="8" t="s">
        <v>10</v>
      </c>
      <c r="AH33" s="8" t="s">
        <v>18</v>
      </c>
      <c r="AI33" s="16"/>
      <c r="AJ33" s="16" t="s">
        <v>9</v>
      </c>
      <c r="AK33" s="16" t="s">
        <v>10</v>
      </c>
      <c r="AL33" s="16" t="s">
        <v>18</v>
      </c>
      <c r="AM33" s="17"/>
      <c r="AN33" s="17" t="s">
        <v>9</v>
      </c>
      <c r="AO33" s="17" t="s">
        <v>10</v>
      </c>
      <c r="AP33" s="17" t="s">
        <v>18</v>
      </c>
      <c r="AQ33" s="3"/>
      <c r="AR33" s="3"/>
      <c r="AS33" s="3"/>
      <c r="AT33" s="3"/>
      <c r="AU33" s="3"/>
      <c r="AV33" s="3"/>
      <c r="AW33" s="3"/>
      <c r="AX33" s="3"/>
      <c r="AY33" s="3"/>
      <c r="AZ33" s="3"/>
    </row>
    <row r="34" spans="1:52" ht="34.950000000000003" customHeight="1">
      <c r="A34" s="493"/>
      <c r="B34" s="493"/>
      <c r="C34" s="493" t="s">
        <v>34</v>
      </c>
      <c r="D34" s="519" t="s">
        <v>35</v>
      </c>
      <c r="E34" s="526" t="s">
        <v>36</v>
      </c>
      <c r="F34" s="514"/>
      <c r="G34" s="514"/>
      <c r="H34" s="493"/>
      <c r="I34" s="514"/>
      <c r="J34" s="493"/>
      <c r="K34" s="10" t="s">
        <v>11</v>
      </c>
      <c r="L34" s="495" t="s">
        <v>114</v>
      </c>
      <c r="M34" s="496"/>
      <c r="N34" s="10">
        <f>ID_15!B20</f>
        <v>350664419.39999998</v>
      </c>
      <c r="O34" s="11" t="s">
        <v>11</v>
      </c>
      <c r="P34" s="501" t="s">
        <v>114</v>
      </c>
      <c r="Q34" s="502"/>
      <c r="R34" s="503"/>
      <c r="S34" s="18" t="s">
        <v>11</v>
      </c>
      <c r="T34" s="551" t="s">
        <v>114</v>
      </c>
      <c r="U34" s="552"/>
      <c r="V34" s="553"/>
      <c r="W34" s="19" t="s">
        <v>11</v>
      </c>
      <c r="X34" s="557" t="s">
        <v>114</v>
      </c>
      <c r="Y34" s="558"/>
      <c r="Z34" s="559"/>
      <c r="AA34" s="10" t="s">
        <v>11</v>
      </c>
      <c r="AB34" s="495" t="s">
        <v>114</v>
      </c>
      <c r="AC34" s="589"/>
      <c r="AD34" s="496"/>
      <c r="AE34" s="11" t="s">
        <v>11</v>
      </c>
      <c r="AF34" s="501" t="s">
        <v>114</v>
      </c>
      <c r="AG34" s="502"/>
      <c r="AH34" s="503"/>
      <c r="AI34" s="18" t="s">
        <v>11</v>
      </c>
      <c r="AJ34" s="551" t="s">
        <v>114</v>
      </c>
      <c r="AK34" s="552"/>
      <c r="AL34" s="553"/>
      <c r="AM34" s="19" t="s">
        <v>11</v>
      </c>
      <c r="AN34" s="557" t="s">
        <v>114</v>
      </c>
      <c r="AO34" s="558"/>
      <c r="AP34" s="559"/>
      <c r="AQ34" s="3"/>
      <c r="AR34" s="3"/>
      <c r="AS34" s="3"/>
      <c r="AT34" s="3"/>
      <c r="AU34" s="3"/>
      <c r="AV34" s="3"/>
      <c r="AW34" s="3"/>
      <c r="AX34" s="3"/>
      <c r="AY34" s="3"/>
      <c r="AZ34" s="3"/>
    </row>
    <row r="35" spans="1:52" ht="34.950000000000003" customHeight="1">
      <c r="A35" s="493"/>
      <c r="B35" s="493"/>
      <c r="C35" s="493" t="s">
        <v>34</v>
      </c>
      <c r="D35" s="519" t="s">
        <v>35</v>
      </c>
      <c r="E35" s="526" t="s">
        <v>36</v>
      </c>
      <c r="F35" s="514"/>
      <c r="G35" s="514"/>
      <c r="H35" s="493"/>
      <c r="I35" s="514"/>
      <c r="J35" s="493"/>
      <c r="K35" s="9" t="s">
        <v>14</v>
      </c>
      <c r="L35" s="497"/>
      <c r="M35" s="498"/>
      <c r="N35" s="9">
        <f>ID_15!B21</f>
        <v>405915651.72000003</v>
      </c>
      <c r="O35" s="6" t="s">
        <v>14</v>
      </c>
      <c r="P35" s="504"/>
      <c r="Q35" s="505"/>
      <c r="R35" s="506"/>
      <c r="S35" s="13" t="s">
        <v>14</v>
      </c>
      <c r="T35" s="554"/>
      <c r="U35" s="555"/>
      <c r="V35" s="556"/>
      <c r="W35" s="14" t="s">
        <v>14</v>
      </c>
      <c r="X35" s="560"/>
      <c r="Y35" s="561"/>
      <c r="Z35" s="562"/>
      <c r="AA35" s="9" t="s">
        <v>14</v>
      </c>
      <c r="AB35" s="497"/>
      <c r="AC35" s="590"/>
      <c r="AD35" s="498"/>
      <c r="AE35" s="6" t="s">
        <v>14</v>
      </c>
      <c r="AF35" s="504"/>
      <c r="AG35" s="505"/>
      <c r="AH35" s="506"/>
      <c r="AI35" s="13" t="s">
        <v>14</v>
      </c>
      <c r="AJ35" s="554"/>
      <c r="AK35" s="555"/>
      <c r="AL35" s="556"/>
      <c r="AM35" s="14" t="s">
        <v>14</v>
      </c>
      <c r="AN35" s="560"/>
      <c r="AO35" s="561"/>
      <c r="AP35" s="562"/>
      <c r="AQ35" s="3"/>
      <c r="AR35" s="3"/>
      <c r="AS35" s="3"/>
      <c r="AT35" s="3"/>
      <c r="AU35" s="3"/>
      <c r="AV35" s="3"/>
      <c r="AW35" s="3"/>
      <c r="AX35" s="3"/>
      <c r="AY35" s="3"/>
      <c r="AZ35" s="3"/>
    </row>
    <row r="36" spans="1:52" ht="34.950000000000003" customHeight="1">
      <c r="A36" s="493"/>
      <c r="B36" s="493"/>
      <c r="C36" s="493" t="s">
        <v>34</v>
      </c>
      <c r="D36" s="519" t="s">
        <v>35</v>
      </c>
      <c r="E36" s="526" t="s">
        <v>36</v>
      </c>
      <c r="F36" s="514"/>
      <c r="G36" s="514"/>
      <c r="H36" s="493"/>
      <c r="I36" s="514"/>
      <c r="J36" s="493"/>
      <c r="K36" s="10" t="s">
        <v>12</v>
      </c>
      <c r="L36" s="499"/>
      <c r="M36" s="500"/>
      <c r="N36" s="10">
        <f>ID_15!B22</f>
        <v>167766722.88</v>
      </c>
      <c r="O36" s="11" t="s">
        <v>12</v>
      </c>
      <c r="P36" s="504"/>
      <c r="Q36" s="505"/>
      <c r="R36" s="506"/>
      <c r="S36" s="18" t="s">
        <v>12</v>
      </c>
      <c r="T36" s="554"/>
      <c r="U36" s="555"/>
      <c r="V36" s="556"/>
      <c r="W36" s="19" t="s">
        <v>12</v>
      </c>
      <c r="X36" s="560"/>
      <c r="Y36" s="561"/>
      <c r="Z36" s="562"/>
      <c r="AA36" s="10" t="s">
        <v>12</v>
      </c>
      <c r="AB36" s="497"/>
      <c r="AC36" s="590"/>
      <c r="AD36" s="498"/>
      <c r="AE36" s="11" t="s">
        <v>12</v>
      </c>
      <c r="AF36" s="504"/>
      <c r="AG36" s="505"/>
      <c r="AH36" s="506"/>
      <c r="AI36" s="18" t="s">
        <v>12</v>
      </c>
      <c r="AJ36" s="554"/>
      <c r="AK36" s="555"/>
      <c r="AL36" s="556"/>
      <c r="AM36" s="19" t="s">
        <v>12</v>
      </c>
      <c r="AN36" s="560"/>
      <c r="AO36" s="561"/>
      <c r="AP36" s="562"/>
      <c r="AQ36" s="3"/>
      <c r="AR36" s="3"/>
      <c r="AS36" s="3"/>
      <c r="AT36" s="3"/>
      <c r="AU36" s="3"/>
      <c r="AV36" s="3"/>
      <c r="AW36" s="3"/>
      <c r="AX36" s="3"/>
      <c r="AY36" s="3"/>
      <c r="AZ36" s="3"/>
    </row>
    <row r="37" spans="1:52" ht="34.950000000000003" customHeight="1" thickBot="1">
      <c r="A37" s="493"/>
      <c r="B37" s="493"/>
      <c r="C37" s="493" t="s">
        <v>34</v>
      </c>
      <c r="D37" s="519" t="s">
        <v>35</v>
      </c>
      <c r="E37" s="526" t="s">
        <v>36</v>
      </c>
      <c r="F37" s="514"/>
      <c r="G37" s="514"/>
      <c r="H37" s="493"/>
      <c r="I37" s="514"/>
      <c r="J37" s="493"/>
      <c r="K37" s="9" t="s">
        <v>13</v>
      </c>
      <c r="L37" s="9"/>
      <c r="M37" s="9"/>
      <c r="N37" s="9">
        <f>SUM(N34:N36)</f>
        <v>924346794</v>
      </c>
      <c r="O37" s="6" t="s">
        <v>13</v>
      </c>
      <c r="P37" s="504"/>
      <c r="Q37" s="505"/>
      <c r="R37" s="506"/>
      <c r="S37" s="13" t="s">
        <v>13</v>
      </c>
      <c r="T37" s="554"/>
      <c r="U37" s="555"/>
      <c r="V37" s="556"/>
      <c r="W37" s="14" t="s">
        <v>13</v>
      </c>
      <c r="X37" s="560"/>
      <c r="Y37" s="561"/>
      <c r="Z37" s="562"/>
      <c r="AA37" s="9" t="s">
        <v>18</v>
      </c>
      <c r="AB37" s="497"/>
      <c r="AC37" s="590"/>
      <c r="AD37" s="498"/>
      <c r="AE37" s="6" t="s">
        <v>18</v>
      </c>
      <c r="AF37" s="504"/>
      <c r="AG37" s="505"/>
      <c r="AH37" s="506"/>
      <c r="AI37" s="13" t="s">
        <v>18</v>
      </c>
      <c r="AJ37" s="554"/>
      <c r="AK37" s="555"/>
      <c r="AL37" s="556"/>
      <c r="AM37" s="14" t="s">
        <v>17</v>
      </c>
      <c r="AN37" s="560"/>
      <c r="AO37" s="561"/>
      <c r="AP37" s="562"/>
      <c r="AQ37" s="3"/>
      <c r="AR37" s="3"/>
      <c r="AS37" s="3"/>
      <c r="AT37" s="3"/>
      <c r="AU37" s="3"/>
      <c r="AV37" s="3"/>
      <c r="AW37" s="3"/>
      <c r="AX37" s="3"/>
      <c r="AY37" s="3"/>
      <c r="AZ37" s="3"/>
    </row>
    <row r="38" spans="1:52" ht="34.950000000000003" customHeight="1">
      <c r="A38" s="507" t="s">
        <v>113</v>
      </c>
      <c r="B38" s="535" t="s">
        <v>523</v>
      </c>
      <c r="C38" s="507">
        <v>16</v>
      </c>
      <c r="D38" s="528" t="s">
        <v>37</v>
      </c>
      <c r="E38" s="531" t="s">
        <v>38</v>
      </c>
      <c r="F38" s="520" t="s">
        <v>166</v>
      </c>
      <c r="G38" s="520" t="s">
        <v>81</v>
      </c>
      <c r="H38" s="507" t="s">
        <v>87</v>
      </c>
      <c r="I38" s="520" t="s">
        <v>95</v>
      </c>
      <c r="J38" s="507">
        <v>2020</v>
      </c>
      <c r="K38" s="12"/>
      <c r="L38" s="12" t="s">
        <v>9</v>
      </c>
      <c r="M38" s="12" t="s">
        <v>10</v>
      </c>
      <c r="N38" s="12" t="s">
        <v>13</v>
      </c>
      <c r="O38" s="7"/>
      <c r="P38" s="7" t="s">
        <v>9</v>
      </c>
      <c r="Q38" s="7" t="s">
        <v>10</v>
      </c>
      <c r="R38" s="7" t="s">
        <v>13</v>
      </c>
      <c r="S38" s="20"/>
      <c r="T38" s="20" t="s">
        <v>9</v>
      </c>
      <c r="U38" s="20" t="s">
        <v>10</v>
      </c>
      <c r="V38" s="20" t="s">
        <v>13</v>
      </c>
      <c r="W38" s="21"/>
      <c r="X38" s="21" t="s">
        <v>9</v>
      </c>
      <c r="Y38" s="21" t="s">
        <v>10</v>
      </c>
      <c r="Z38" s="21" t="s">
        <v>13</v>
      </c>
      <c r="AA38" s="12"/>
      <c r="AB38" s="12" t="s">
        <v>9</v>
      </c>
      <c r="AC38" s="12" t="s">
        <v>10</v>
      </c>
      <c r="AD38" s="12" t="s">
        <v>18</v>
      </c>
      <c r="AE38" s="7"/>
      <c r="AF38" s="7" t="s">
        <v>9</v>
      </c>
      <c r="AG38" s="7" t="s">
        <v>10</v>
      </c>
      <c r="AH38" s="7" t="s">
        <v>18</v>
      </c>
      <c r="AI38" s="20"/>
      <c r="AJ38" s="20" t="s">
        <v>9</v>
      </c>
      <c r="AK38" s="20" t="s">
        <v>10</v>
      </c>
      <c r="AL38" s="20" t="s">
        <v>18</v>
      </c>
      <c r="AM38" s="21"/>
      <c r="AN38" s="21" t="s">
        <v>9</v>
      </c>
      <c r="AO38" s="21" t="s">
        <v>10</v>
      </c>
      <c r="AP38" s="21" t="s">
        <v>18</v>
      </c>
      <c r="AQ38" s="3"/>
      <c r="AR38" s="3"/>
      <c r="AS38" s="3"/>
      <c r="AT38" s="3"/>
      <c r="AU38" s="3"/>
      <c r="AV38" s="3"/>
      <c r="AW38" s="3"/>
      <c r="AX38" s="3"/>
      <c r="AY38" s="3"/>
      <c r="AZ38" s="3"/>
    </row>
    <row r="39" spans="1:52" ht="34.950000000000003" customHeight="1">
      <c r="A39" s="508"/>
      <c r="B39" s="536"/>
      <c r="C39" s="508">
        <v>16</v>
      </c>
      <c r="D39" s="529" t="s">
        <v>37</v>
      </c>
      <c r="E39" s="532" t="s">
        <v>38</v>
      </c>
      <c r="F39" s="521"/>
      <c r="G39" s="521"/>
      <c r="H39" s="508"/>
      <c r="I39" s="521"/>
      <c r="J39" s="508"/>
      <c r="K39" s="10" t="s">
        <v>11</v>
      </c>
      <c r="L39" s="495" t="s">
        <v>114</v>
      </c>
      <c r="M39" s="496"/>
      <c r="N39" s="10">
        <f>ID_16!B17</f>
        <v>289420671</v>
      </c>
      <c r="O39" s="11" t="s">
        <v>11</v>
      </c>
      <c r="P39" s="501" t="s">
        <v>114</v>
      </c>
      <c r="Q39" s="502"/>
      <c r="R39" s="503"/>
      <c r="S39" s="18" t="s">
        <v>11</v>
      </c>
      <c r="T39" s="551" t="s">
        <v>114</v>
      </c>
      <c r="U39" s="552"/>
      <c r="V39" s="553"/>
      <c r="W39" s="19" t="s">
        <v>11</v>
      </c>
      <c r="X39" s="557" t="s">
        <v>114</v>
      </c>
      <c r="Y39" s="558"/>
      <c r="Z39" s="559"/>
      <c r="AA39" s="10" t="s">
        <v>11</v>
      </c>
      <c r="AB39" s="495" t="s">
        <v>114</v>
      </c>
      <c r="AC39" s="589"/>
      <c r="AD39" s="496"/>
      <c r="AE39" s="11" t="s">
        <v>11</v>
      </c>
      <c r="AF39" s="501" t="s">
        <v>114</v>
      </c>
      <c r="AG39" s="502"/>
      <c r="AH39" s="503"/>
      <c r="AI39" s="18" t="s">
        <v>11</v>
      </c>
      <c r="AJ39" s="551" t="s">
        <v>114</v>
      </c>
      <c r="AK39" s="552"/>
      <c r="AL39" s="553"/>
      <c r="AM39" s="19" t="s">
        <v>11</v>
      </c>
      <c r="AN39" s="557" t="s">
        <v>114</v>
      </c>
      <c r="AO39" s="558"/>
      <c r="AP39" s="559"/>
      <c r="AQ39" s="3"/>
      <c r="AR39" s="3"/>
      <c r="AS39" s="3"/>
      <c r="AT39" s="3"/>
      <c r="AU39" s="3"/>
      <c r="AV39" s="3"/>
      <c r="AW39" s="3"/>
      <c r="AX39" s="3"/>
      <c r="AY39" s="3"/>
      <c r="AZ39" s="3"/>
    </row>
    <row r="40" spans="1:52" ht="34.950000000000003" customHeight="1">
      <c r="A40" s="508"/>
      <c r="B40" s="536"/>
      <c r="C40" s="508">
        <v>16</v>
      </c>
      <c r="D40" s="529" t="s">
        <v>37</v>
      </c>
      <c r="E40" s="532" t="s">
        <v>38</v>
      </c>
      <c r="F40" s="521"/>
      <c r="G40" s="521"/>
      <c r="H40" s="508"/>
      <c r="I40" s="521"/>
      <c r="J40" s="508"/>
      <c r="K40" s="9" t="s">
        <v>14</v>
      </c>
      <c r="L40" s="497"/>
      <c r="M40" s="498"/>
      <c r="N40" s="9">
        <f>ID_16!B18</f>
        <v>2185080508</v>
      </c>
      <c r="O40" s="6" t="s">
        <v>14</v>
      </c>
      <c r="P40" s="504"/>
      <c r="Q40" s="505"/>
      <c r="R40" s="506"/>
      <c r="S40" s="13" t="s">
        <v>14</v>
      </c>
      <c r="T40" s="554"/>
      <c r="U40" s="555"/>
      <c r="V40" s="556"/>
      <c r="W40" s="14" t="s">
        <v>14</v>
      </c>
      <c r="X40" s="560"/>
      <c r="Y40" s="561"/>
      <c r="Z40" s="562"/>
      <c r="AA40" s="9" t="s">
        <v>14</v>
      </c>
      <c r="AB40" s="497"/>
      <c r="AC40" s="590"/>
      <c r="AD40" s="498"/>
      <c r="AE40" s="6" t="s">
        <v>14</v>
      </c>
      <c r="AF40" s="504"/>
      <c r="AG40" s="505"/>
      <c r="AH40" s="506"/>
      <c r="AI40" s="13" t="s">
        <v>14</v>
      </c>
      <c r="AJ40" s="554"/>
      <c r="AK40" s="555"/>
      <c r="AL40" s="556"/>
      <c r="AM40" s="14" t="s">
        <v>14</v>
      </c>
      <c r="AN40" s="560"/>
      <c r="AO40" s="561"/>
      <c r="AP40" s="562"/>
      <c r="AQ40" s="3"/>
      <c r="AR40" s="3"/>
      <c r="AS40" s="3"/>
      <c r="AT40" s="3"/>
      <c r="AU40" s="3"/>
      <c r="AV40" s="3"/>
      <c r="AW40" s="3"/>
      <c r="AX40" s="3"/>
      <c r="AY40" s="3"/>
      <c r="AZ40" s="3"/>
    </row>
    <row r="41" spans="1:52" ht="34.950000000000003" customHeight="1">
      <c r="A41" s="508"/>
      <c r="B41" s="536"/>
      <c r="C41" s="508">
        <v>16</v>
      </c>
      <c r="D41" s="529" t="s">
        <v>37</v>
      </c>
      <c r="E41" s="532" t="s">
        <v>38</v>
      </c>
      <c r="F41" s="521"/>
      <c r="G41" s="521"/>
      <c r="H41" s="508"/>
      <c r="I41" s="521"/>
      <c r="J41" s="508"/>
      <c r="K41" s="10" t="s">
        <v>12</v>
      </c>
      <c r="L41" s="499"/>
      <c r="M41" s="500"/>
      <c r="N41" s="10">
        <f>ID_16!B19</f>
        <v>7408925047</v>
      </c>
      <c r="O41" s="11" t="s">
        <v>12</v>
      </c>
      <c r="P41" s="504"/>
      <c r="Q41" s="505"/>
      <c r="R41" s="506"/>
      <c r="S41" s="18" t="s">
        <v>12</v>
      </c>
      <c r="T41" s="554"/>
      <c r="U41" s="555"/>
      <c r="V41" s="556"/>
      <c r="W41" s="19" t="s">
        <v>12</v>
      </c>
      <c r="X41" s="560"/>
      <c r="Y41" s="561"/>
      <c r="Z41" s="562"/>
      <c r="AA41" s="10" t="s">
        <v>12</v>
      </c>
      <c r="AB41" s="497"/>
      <c r="AC41" s="590"/>
      <c r="AD41" s="498"/>
      <c r="AE41" s="11" t="s">
        <v>12</v>
      </c>
      <c r="AF41" s="504"/>
      <c r="AG41" s="505"/>
      <c r="AH41" s="506"/>
      <c r="AI41" s="18" t="s">
        <v>12</v>
      </c>
      <c r="AJ41" s="554"/>
      <c r="AK41" s="555"/>
      <c r="AL41" s="556"/>
      <c r="AM41" s="19" t="s">
        <v>12</v>
      </c>
      <c r="AN41" s="560"/>
      <c r="AO41" s="561"/>
      <c r="AP41" s="562"/>
      <c r="AQ41" s="3"/>
      <c r="AR41" s="3"/>
      <c r="AS41" s="3"/>
      <c r="AT41" s="3"/>
      <c r="AU41" s="3"/>
      <c r="AV41" s="3"/>
      <c r="AW41" s="3"/>
      <c r="AX41" s="3"/>
      <c r="AY41" s="3"/>
      <c r="AZ41" s="3"/>
    </row>
    <row r="42" spans="1:52" ht="34.950000000000003" customHeight="1" thickBot="1">
      <c r="A42" s="509"/>
      <c r="B42" s="537"/>
      <c r="C42" s="509">
        <v>16</v>
      </c>
      <c r="D42" s="530" t="s">
        <v>37</v>
      </c>
      <c r="E42" s="533" t="s">
        <v>38</v>
      </c>
      <c r="F42" s="522"/>
      <c r="G42" s="522"/>
      <c r="H42" s="509"/>
      <c r="I42" s="522"/>
      <c r="J42" s="509"/>
      <c r="K42" s="57" t="s">
        <v>13</v>
      </c>
      <c r="L42" s="57"/>
      <c r="M42" s="57"/>
      <c r="N42" s="57">
        <f>SUM(N39:N41)</f>
        <v>9883426226</v>
      </c>
      <c r="O42" s="244" t="s">
        <v>13</v>
      </c>
      <c r="P42" s="510"/>
      <c r="Q42" s="511"/>
      <c r="R42" s="512"/>
      <c r="S42" s="245" t="s">
        <v>13</v>
      </c>
      <c r="T42" s="586"/>
      <c r="U42" s="587"/>
      <c r="V42" s="588"/>
      <c r="W42" s="246" t="s">
        <v>13</v>
      </c>
      <c r="X42" s="579"/>
      <c r="Y42" s="580"/>
      <c r="Z42" s="581"/>
      <c r="AA42" s="57" t="s">
        <v>18</v>
      </c>
      <c r="AB42" s="591"/>
      <c r="AC42" s="592"/>
      <c r="AD42" s="593"/>
      <c r="AE42" s="244" t="s">
        <v>18</v>
      </c>
      <c r="AF42" s="510"/>
      <c r="AG42" s="511"/>
      <c r="AH42" s="512"/>
      <c r="AI42" s="245" t="s">
        <v>18</v>
      </c>
      <c r="AJ42" s="586"/>
      <c r="AK42" s="587"/>
      <c r="AL42" s="588"/>
      <c r="AM42" s="246" t="s">
        <v>18</v>
      </c>
      <c r="AN42" s="579"/>
      <c r="AO42" s="580"/>
      <c r="AP42" s="581"/>
      <c r="AQ42" s="3"/>
      <c r="AR42" s="3"/>
      <c r="AS42" s="3"/>
      <c r="AT42" s="3"/>
      <c r="AU42" s="3"/>
      <c r="AV42" s="3"/>
      <c r="AW42" s="3"/>
      <c r="AX42" s="3"/>
      <c r="AY42" s="3"/>
      <c r="AZ42" s="3"/>
    </row>
    <row r="43" spans="1:52" ht="34.950000000000003" customHeight="1">
      <c r="A43" s="492" t="s">
        <v>113</v>
      </c>
      <c r="B43" s="517" t="s">
        <v>523</v>
      </c>
      <c r="C43" s="492" t="s">
        <v>39</v>
      </c>
      <c r="D43" s="518" t="s">
        <v>40</v>
      </c>
      <c r="E43" s="527" t="s">
        <v>41</v>
      </c>
      <c r="F43" s="515" t="s">
        <v>166</v>
      </c>
      <c r="G43" s="515" t="s">
        <v>81</v>
      </c>
      <c r="H43" s="492" t="s">
        <v>87</v>
      </c>
      <c r="I43" s="515" t="s">
        <v>96</v>
      </c>
      <c r="J43" s="492">
        <v>2020</v>
      </c>
      <c r="K43" s="15"/>
      <c r="L43" s="15" t="s">
        <v>9</v>
      </c>
      <c r="M43" s="15" t="s">
        <v>10</v>
      </c>
      <c r="N43" s="15" t="s">
        <v>13</v>
      </c>
      <c r="O43" s="8"/>
      <c r="P43" s="8" t="s">
        <v>9</v>
      </c>
      <c r="Q43" s="8" t="s">
        <v>10</v>
      </c>
      <c r="R43" s="8" t="s">
        <v>13</v>
      </c>
      <c r="S43" s="16"/>
      <c r="T43" s="16" t="s">
        <v>9</v>
      </c>
      <c r="U43" s="16" t="s">
        <v>10</v>
      </c>
      <c r="V43" s="16" t="s">
        <v>13</v>
      </c>
      <c r="W43" s="17"/>
      <c r="X43" s="17" t="s">
        <v>9</v>
      </c>
      <c r="Y43" s="17" t="s">
        <v>10</v>
      </c>
      <c r="Z43" s="17" t="s">
        <v>13</v>
      </c>
      <c r="AA43" s="15"/>
      <c r="AB43" s="15" t="s">
        <v>9</v>
      </c>
      <c r="AC43" s="15" t="s">
        <v>10</v>
      </c>
      <c r="AD43" s="15" t="s">
        <v>18</v>
      </c>
      <c r="AE43" s="8"/>
      <c r="AF43" s="8" t="s">
        <v>9</v>
      </c>
      <c r="AG43" s="8" t="s">
        <v>10</v>
      </c>
      <c r="AH43" s="8" t="s">
        <v>18</v>
      </c>
      <c r="AI43" s="16"/>
      <c r="AJ43" s="16" t="s">
        <v>9</v>
      </c>
      <c r="AK43" s="16" t="s">
        <v>10</v>
      </c>
      <c r="AL43" s="16" t="s">
        <v>18</v>
      </c>
      <c r="AM43" s="17"/>
      <c r="AN43" s="17" t="s">
        <v>9</v>
      </c>
      <c r="AO43" s="17" t="s">
        <v>10</v>
      </c>
      <c r="AP43" s="17" t="s">
        <v>18</v>
      </c>
      <c r="AQ43" s="3"/>
      <c r="AR43" s="3"/>
      <c r="AS43" s="3"/>
      <c r="AT43" s="3"/>
      <c r="AU43" s="3"/>
      <c r="AV43" s="3"/>
      <c r="AW43" s="3"/>
      <c r="AX43" s="3"/>
      <c r="AY43" s="3"/>
      <c r="AZ43" s="3"/>
    </row>
    <row r="44" spans="1:52" ht="34.950000000000003" customHeight="1">
      <c r="A44" s="493"/>
      <c r="B44" s="493"/>
      <c r="C44" s="493" t="s">
        <v>39</v>
      </c>
      <c r="D44" s="519" t="s">
        <v>40</v>
      </c>
      <c r="E44" s="526" t="s">
        <v>41</v>
      </c>
      <c r="F44" s="514"/>
      <c r="G44" s="514"/>
      <c r="H44" s="493"/>
      <c r="I44" s="514"/>
      <c r="J44" s="493"/>
      <c r="K44" s="10" t="s">
        <v>11</v>
      </c>
      <c r="L44" s="495" t="s">
        <v>114</v>
      </c>
      <c r="M44" s="496"/>
      <c r="N44" s="10">
        <f>ID_17!B16</f>
        <v>63698649</v>
      </c>
      <c r="O44" s="11" t="s">
        <v>11</v>
      </c>
      <c r="P44" s="501" t="s">
        <v>114</v>
      </c>
      <c r="Q44" s="502"/>
      <c r="R44" s="503"/>
      <c r="S44" s="18" t="s">
        <v>11</v>
      </c>
      <c r="T44" s="551" t="s">
        <v>114</v>
      </c>
      <c r="U44" s="552"/>
      <c r="V44" s="553"/>
      <c r="W44" s="19" t="s">
        <v>11</v>
      </c>
      <c r="X44" s="557" t="s">
        <v>114</v>
      </c>
      <c r="Y44" s="558"/>
      <c r="Z44" s="559"/>
      <c r="AA44" s="10" t="s">
        <v>11</v>
      </c>
      <c r="AB44" s="495" t="s">
        <v>114</v>
      </c>
      <c r="AC44" s="589"/>
      <c r="AD44" s="496"/>
      <c r="AE44" s="11" t="s">
        <v>11</v>
      </c>
      <c r="AF44" s="501" t="s">
        <v>114</v>
      </c>
      <c r="AG44" s="502"/>
      <c r="AH44" s="503"/>
      <c r="AI44" s="18" t="s">
        <v>11</v>
      </c>
      <c r="AJ44" s="551" t="s">
        <v>114</v>
      </c>
      <c r="AK44" s="552"/>
      <c r="AL44" s="553"/>
      <c r="AM44" s="19" t="s">
        <v>11</v>
      </c>
      <c r="AN44" s="557" t="s">
        <v>114</v>
      </c>
      <c r="AO44" s="558"/>
      <c r="AP44" s="559"/>
      <c r="AQ44" s="3"/>
      <c r="AR44" s="3"/>
      <c r="AS44" s="3"/>
      <c r="AT44" s="3"/>
      <c r="AU44" s="3"/>
      <c r="AV44" s="3"/>
      <c r="AW44" s="3"/>
      <c r="AX44" s="3"/>
      <c r="AY44" s="3"/>
      <c r="AZ44" s="3"/>
    </row>
    <row r="45" spans="1:52" ht="34.950000000000003" customHeight="1">
      <c r="A45" s="493"/>
      <c r="B45" s="493"/>
      <c r="C45" s="493" t="s">
        <v>39</v>
      </c>
      <c r="D45" s="519" t="s">
        <v>40</v>
      </c>
      <c r="E45" s="526" t="s">
        <v>41</v>
      </c>
      <c r="F45" s="514"/>
      <c r="G45" s="514"/>
      <c r="H45" s="493"/>
      <c r="I45" s="514"/>
      <c r="J45" s="493"/>
      <c r="K45" s="9" t="s">
        <v>14</v>
      </c>
      <c r="L45" s="497"/>
      <c r="M45" s="498"/>
      <c r="N45" s="9">
        <f>ID_17!B17</f>
        <v>453348255</v>
      </c>
      <c r="O45" s="6" t="s">
        <v>14</v>
      </c>
      <c r="P45" s="504"/>
      <c r="Q45" s="505"/>
      <c r="R45" s="506"/>
      <c r="S45" s="13" t="s">
        <v>14</v>
      </c>
      <c r="T45" s="554"/>
      <c r="U45" s="555"/>
      <c r="V45" s="556"/>
      <c r="W45" s="14" t="s">
        <v>14</v>
      </c>
      <c r="X45" s="560"/>
      <c r="Y45" s="561"/>
      <c r="Z45" s="562"/>
      <c r="AA45" s="9" t="s">
        <v>14</v>
      </c>
      <c r="AB45" s="497"/>
      <c r="AC45" s="590"/>
      <c r="AD45" s="498"/>
      <c r="AE45" s="6" t="s">
        <v>14</v>
      </c>
      <c r="AF45" s="504"/>
      <c r="AG45" s="505"/>
      <c r="AH45" s="506"/>
      <c r="AI45" s="13" t="s">
        <v>14</v>
      </c>
      <c r="AJ45" s="554"/>
      <c r="AK45" s="555"/>
      <c r="AL45" s="556"/>
      <c r="AM45" s="14" t="s">
        <v>14</v>
      </c>
      <c r="AN45" s="560"/>
      <c r="AO45" s="561"/>
      <c r="AP45" s="562"/>
      <c r="AQ45" s="3"/>
      <c r="AR45" s="3"/>
      <c r="AS45" s="3"/>
      <c r="AT45" s="3"/>
      <c r="AU45" s="3"/>
      <c r="AV45" s="3"/>
      <c r="AW45" s="3"/>
      <c r="AX45" s="3"/>
      <c r="AY45" s="3"/>
      <c r="AZ45" s="3"/>
    </row>
    <row r="46" spans="1:52" ht="34.950000000000003" customHeight="1">
      <c r="A46" s="493"/>
      <c r="B46" s="493"/>
      <c r="C46" s="493" t="s">
        <v>39</v>
      </c>
      <c r="D46" s="519" t="s">
        <v>40</v>
      </c>
      <c r="E46" s="526" t="s">
        <v>41</v>
      </c>
      <c r="F46" s="514"/>
      <c r="G46" s="514"/>
      <c r="H46" s="493"/>
      <c r="I46" s="514"/>
      <c r="J46" s="493"/>
      <c r="K46" s="10" t="s">
        <v>12</v>
      </c>
      <c r="L46" s="499"/>
      <c r="M46" s="500"/>
      <c r="N46" s="10">
        <f>ID_17!B18</f>
        <v>1399678655</v>
      </c>
      <c r="O46" s="11" t="s">
        <v>12</v>
      </c>
      <c r="P46" s="504"/>
      <c r="Q46" s="505"/>
      <c r="R46" s="506"/>
      <c r="S46" s="18" t="s">
        <v>12</v>
      </c>
      <c r="T46" s="554"/>
      <c r="U46" s="555"/>
      <c r="V46" s="556"/>
      <c r="W46" s="19" t="s">
        <v>12</v>
      </c>
      <c r="X46" s="560"/>
      <c r="Y46" s="561"/>
      <c r="Z46" s="562"/>
      <c r="AA46" s="10" t="s">
        <v>12</v>
      </c>
      <c r="AB46" s="497"/>
      <c r="AC46" s="590"/>
      <c r="AD46" s="498"/>
      <c r="AE46" s="11" t="s">
        <v>12</v>
      </c>
      <c r="AF46" s="504"/>
      <c r="AG46" s="505"/>
      <c r="AH46" s="506"/>
      <c r="AI46" s="18" t="s">
        <v>12</v>
      </c>
      <c r="AJ46" s="554"/>
      <c r="AK46" s="555"/>
      <c r="AL46" s="556"/>
      <c r="AM46" s="19" t="s">
        <v>12</v>
      </c>
      <c r="AN46" s="560"/>
      <c r="AO46" s="561"/>
      <c r="AP46" s="562"/>
      <c r="AQ46" s="3"/>
      <c r="AR46" s="3"/>
      <c r="AS46" s="3"/>
      <c r="AT46" s="3"/>
      <c r="AU46" s="3"/>
      <c r="AV46" s="3"/>
      <c r="AW46" s="3"/>
      <c r="AX46" s="3"/>
      <c r="AY46" s="3"/>
      <c r="AZ46" s="3"/>
    </row>
    <row r="47" spans="1:52" ht="34.950000000000003" customHeight="1" thickBot="1">
      <c r="A47" s="493"/>
      <c r="B47" s="493"/>
      <c r="C47" s="493" t="s">
        <v>39</v>
      </c>
      <c r="D47" s="519" t="s">
        <v>40</v>
      </c>
      <c r="E47" s="526" t="s">
        <v>41</v>
      </c>
      <c r="F47" s="514"/>
      <c r="G47" s="514"/>
      <c r="H47" s="493"/>
      <c r="I47" s="514"/>
      <c r="J47" s="493"/>
      <c r="K47" s="9" t="s">
        <v>13</v>
      </c>
      <c r="L47" s="9"/>
      <c r="M47" s="9"/>
      <c r="N47" s="9">
        <f>SUM(N44:N46)</f>
        <v>1916725559</v>
      </c>
      <c r="O47" s="6" t="s">
        <v>13</v>
      </c>
      <c r="P47" s="504"/>
      <c r="Q47" s="505"/>
      <c r="R47" s="506"/>
      <c r="S47" s="13" t="s">
        <v>13</v>
      </c>
      <c r="T47" s="554"/>
      <c r="U47" s="555"/>
      <c r="V47" s="556"/>
      <c r="W47" s="14" t="s">
        <v>13</v>
      </c>
      <c r="X47" s="560"/>
      <c r="Y47" s="561"/>
      <c r="Z47" s="562"/>
      <c r="AA47" s="9" t="s">
        <v>18</v>
      </c>
      <c r="AB47" s="497"/>
      <c r="AC47" s="590"/>
      <c r="AD47" s="498"/>
      <c r="AE47" s="6" t="s">
        <v>18</v>
      </c>
      <c r="AF47" s="504"/>
      <c r="AG47" s="505"/>
      <c r="AH47" s="506"/>
      <c r="AI47" s="13" t="s">
        <v>18</v>
      </c>
      <c r="AJ47" s="554"/>
      <c r="AK47" s="555"/>
      <c r="AL47" s="556"/>
      <c r="AM47" s="14" t="s">
        <v>17</v>
      </c>
      <c r="AN47" s="560"/>
      <c r="AO47" s="561"/>
      <c r="AP47" s="562"/>
      <c r="AQ47" s="3"/>
      <c r="AR47" s="3"/>
      <c r="AS47" s="3"/>
      <c r="AT47" s="3"/>
      <c r="AU47" s="3"/>
      <c r="AV47" s="3"/>
      <c r="AW47" s="3"/>
      <c r="AX47" s="3"/>
      <c r="AY47" s="3"/>
      <c r="AZ47" s="3"/>
    </row>
    <row r="48" spans="1:52" ht="34.950000000000003" customHeight="1">
      <c r="A48" s="507" t="s">
        <v>113</v>
      </c>
      <c r="B48" s="507" t="s">
        <v>523</v>
      </c>
      <c r="C48" s="507">
        <v>18</v>
      </c>
      <c r="D48" s="528" t="s">
        <v>42</v>
      </c>
      <c r="E48" s="531" t="s">
        <v>43</v>
      </c>
      <c r="F48" s="520" t="s">
        <v>166</v>
      </c>
      <c r="G48" s="520" t="s">
        <v>81</v>
      </c>
      <c r="H48" s="507" t="s">
        <v>87</v>
      </c>
      <c r="I48" s="520" t="s">
        <v>97</v>
      </c>
      <c r="J48" s="507">
        <v>2020</v>
      </c>
      <c r="K48" s="12"/>
      <c r="L48" s="12" t="s">
        <v>9</v>
      </c>
      <c r="M48" s="12" t="s">
        <v>10</v>
      </c>
      <c r="N48" s="12" t="s">
        <v>13</v>
      </c>
      <c r="O48" s="7"/>
      <c r="P48" s="7" t="s">
        <v>9</v>
      </c>
      <c r="Q48" s="7" t="s">
        <v>10</v>
      </c>
      <c r="R48" s="7" t="s">
        <v>13</v>
      </c>
      <c r="S48" s="20"/>
      <c r="T48" s="20" t="s">
        <v>9</v>
      </c>
      <c r="U48" s="20" t="s">
        <v>10</v>
      </c>
      <c r="V48" s="20" t="s">
        <v>13</v>
      </c>
      <c r="W48" s="21"/>
      <c r="X48" s="21" t="s">
        <v>9</v>
      </c>
      <c r="Y48" s="21" t="s">
        <v>10</v>
      </c>
      <c r="Z48" s="21" t="s">
        <v>13</v>
      </c>
      <c r="AA48" s="12"/>
      <c r="AB48" s="12" t="s">
        <v>9</v>
      </c>
      <c r="AC48" s="12" t="s">
        <v>10</v>
      </c>
      <c r="AD48" s="12" t="s">
        <v>18</v>
      </c>
      <c r="AE48" s="7"/>
      <c r="AF48" s="7" t="s">
        <v>9</v>
      </c>
      <c r="AG48" s="7" t="s">
        <v>10</v>
      </c>
      <c r="AH48" s="7" t="s">
        <v>18</v>
      </c>
      <c r="AI48" s="20"/>
      <c r="AJ48" s="20" t="s">
        <v>9</v>
      </c>
      <c r="AK48" s="20" t="s">
        <v>10</v>
      </c>
      <c r="AL48" s="20" t="s">
        <v>18</v>
      </c>
      <c r="AM48" s="21"/>
      <c r="AN48" s="21" t="s">
        <v>9</v>
      </c>
      <c r="AO48" s="21" t="s">
        <v>10</v>
      </c>
      <c r="AP48" s="21" t="s">
        <v>18</v>
      </c>
      <c r="AQ48" s="3"/>
      <c r="AR48" s="3"/>
      <c r="AS48" s="3"/>
      <c r="AT48" s="3"/>
      <c r="AU48" s="3"/>
      <c r="AV48" s="3"/>
      <c r="AW48" s="3"/>
      <c r="AX48" s="3"/>
      <c r="AY48" s="3"/>
      <c r="AZ48" s="3"/>
    </row>
    <row r="49" spans="1:52" ht="34.950000000000003" customHeight="1">
      <c r="A49" s="508"/>
      <c r="B49" s="508"/>
      <c r="C49" s="508">
        <v>18</v>
      </c>
      <c r="D49" s="529" t="s">
        <v>42</v>
      </c>
      <c r="E49" s="532" t="s">
        <v>43</v>
      </c>
      <c r="F49" s="521"/>
      <c r="G49" s="521"/>
      <c r="H49" s="508"/>
      <c r="I49" s="521"/>
      <c r="J49" s="508"/>
      <c r="K49" s="10" t="s">
        <v>11</v>
      </c>
      <c r="L49" s="495" t="s">
        <v>114</v>
      </c>
      <c r="M49" s="496"/>
      <c r="N49" s="10">
        <f>ID_18!B16</f>
        <v>41979751</v>
      </c>
      <c r="O49" s="11" t="s">
        <v>11</v>
      </c>
      <c r="P49" s="501" t="s">
        <v>114</v>
      </c>
      <c r="Q49" s="502"/>
      <c r="R49" s="503"/>
      <c r="S49" s="18" t="s">
        <v>11</v>
      </c>
      <c r="T49" s="551" t="s">
        <v>114</v>
      </c>
      <c r="U49" s="552"/>
      <c r="V49" s="553"/>
      <c r="W49" s="19" t="s">
        <v>11</v>
      </c>
      <c r="X49" s="557" t="s">
        <v>114</v>
      </c>
      <c r="Y49" s="558"/>
      <c r="Z49" s="559"/>
      <c r="AA49" s="10" t="s">
        <v>11</v>
      </c>
      <c r="AB49" s="495" t="s">
        <v>114</v>
      </c>
      <c r="AC49" s="589"/>
      <c r="AD49" s="496"/>
      <c r="AE49" s="11" t="s">
        <v>11</v>
      </c>
      <c r="AF49" s="501" t="s">
        <v>114</v>
      </c>
      <c r="AG49" s="502"/>
      <c r="AH49" s="503"/>
      <c r="AI49" s="18" t="s">
        <v>11</v>
      </c>
      <c r="AJ49" s="551" t="s">
        <v>114</v>
      </c>
      <c r="AK49" s="552"/>
      <c r="AL49" s="553"/>
      <c r="AM49" s="19" t="s">
        <v>11</v>
      </c>
      <c r="AN49" s="557" t="s">
        <v>114</v>
      </c>
      <c r="AO49" s="558"/>
      <c r="AP49" s="559"/>
      <c r="AQ49" s="3"/>
      <c r="AR49" s="3"/>
      <c r="AS49" s="3"/>
      <c r="AT49" s="3"/>
      <c r="AU49" s="3"/>
      <c r="AV49" s="3"/>
      <c r="AW49" s="3"/>
      <c r="AX49" s="3"/>
      <c r="AY49" s="3"/>
      <c r="AZ49" s="3"/>
    </row>
    <row r="50" spans="1:52" ht="34.950000000000003" customHeight="1">
      <c r="A50" s="508"/>
      <c r="B50" s="508"/>
      <c r="C50" s="508">
        <v>18</v>
      </c>
      <c r="D50" s="529" t="s">
        <v>42</v>
      </c>
      <c r="E50" s="532" t="s">
        <v>43</v>
      </c>
      <c r="F50" s="521"/>
      <c r="G50" s="521"/>
      <c r="H50" s="508"/>
      <c r="I50" s="521"/>
      <c r="J50" s="508"/>
      <c r="K50" s="9" t="s">
        <v>14</v>
      </c>
      <c r="L50" s="497"/>
      <c r="M50" s="498"/>
      <c r="N50" s="9">
        <f>ID_18!B17</f>
        <v>183906603</v>
      </c>
      <c r="O50" s="6" t="s">
        <v>14</v>
      </c>
      <c r="P50" s="504"/>
      <c r="Q50" s="505"/>
      <c r="R50" s="506"/>
      <c r="S50" s="13" t="s">
        <v>14</v>
      </c>
      <c r="T50" s="554"/>
      <c r="U50" s="555"/>
      <c r="V50" s="556"/>
      <c r="W50" s="14" t="s">
        <v>14</v>
      </c>
      <c r="X50" s="560"/>
      <c r="Y50" s="561"/>
      <c r="Z50" s="562"/>
      <c r="AA50" s="9" t="s">
        <v>14</v>
      </c>
      <c r="AB50" s="497"/>
      <c r="AC50" s="590"/>
      <c r="AD50" s="498"/>
      <c r="AE50" s="6" t="s">
        <v>14</v>
      </c>
      <c r="AF50" s="504"/>
      <c r="AG50" s="505"/>
      <c r="AH50" s="506"/>
      <c r="AI50" s="13" t="s">
        <v>14</v>
      </c>
      <c r="AJ50" s="554"/>
      <c r="AK50" s="555"/>
      <c r="AL50" s="556"/>
      <c r="AM50" s="14" t="s">
        <v>14</v>
      </c>
      <c r="AN50" s="560"/>
      <c r="AO50" s="561"/>
      <c r="AP50" s="562"/>
      <c r="AQ50" s="3"/>
      <c r="AR50" s="3"/>
      <c r="AS50" s="3"/>
      <c r="AT50" s="3"/>
      <c r="AU50" s="3"/>
      <c r="AV50" s="3"/>
      <c r="AW50" s="3"/>
      <c r="AX50" s="3"/>
      <c r="AY50" s="3"/>
      <c r="AZ50" s="3"/>
    </row>
    <row r="51" spans="1:52" ht="34.950000000000003" customHeight="1">
      <c r="A51" s="508"/>
      <c r="B51" s="508"/>
      <c r="C51" s="508">
        <v>18</v>
      </c>
      <c r="D51" s="529" t="s">
        <v>42</v>
      </c>
      <c r="E51" s="532" t="s">
        <v>43</v>
      </c>
      <c r="F51" s="521"/>
      <c r="G51" s="521"/>
      <c r="H51" s="508"/>
      <c r="I51" s="521"/>
      <c r="J51" s="508"/>
      <c r="K51" s="10" t="s">
        <v>12</v>
      </c>
      <c r="L51" s="499"/>
      <c r="M51" s="500"/>
      <c r="N51" s="10">
        <f>ID_18!B18</f>
        <v>210388653</v>
      </c>
      <c r="O51" s="11" t="s">
        <v>12</v>
      </c>
      <c r="P51" s="504"/>
      <c r="Q51" s="505"/>
      <c r="R51" s="506"/>
      <c r="S51" s="18" t="s">
        <v>12</v>
      </c>
      <c r="T51" s="554"/>
      <c r="U51" s="555"/>
      <c r="V51" s="556"/>
      <c r="W51" s="19" t="s">
        <v>12</v>
      </c>
      <c r="X51" s="560"/>
      <c r="Y51" s="561"/>
      <c r="Z51" s="562"/>
      <c r="AA51" s="10" t="s">
        <v>12</v>
      </c>
      <c r="AB51" s="497"/>
      <c r="AC51" s="590"/>
      <c r="AD51" s="498"/>
      <c r="AE51" s="11" t="s">
        <v>12</v>
      </c>
      <c r="AF51" s="504"/>
      <c r="AG51" s="505"/>
      <c r="AH51" s="506"/>
      <c r="AI51" s="18" t="s">
        <v>12</v>
      </c>
      <c r="AJ51" s="554"/>
      <c r="AK51" s="555"/>
      <c r="AL51" s="556"/>
      <c r="AM51" s="19" t="s">
        <v>12</v>
      </c>
      <c r="AN51" s="560"/>
      <c r="AO51" s="561"/>
      <c r="AP51" s="562"/>
      <c r="AQ51" s="3"/>
      <c r="AR51" s="3"/>
      <c r="AS51" s="3"/>
      <c r="AT51" s="3"/>
      <c r="AU51" s="3"/>
      <c r="AV51" s="3"/>
      <c r="AW51" s="3"/>
      <c r="AX51" s="3"/>
      <c r="AY51" s="3"/>
      <c r="AZ51" s="3"/>
    </row>
    <row r="52" spans="1:52" ht="34.950000000000003" customHeight="1" thickBot="1">
      <c r="A52" s="509"/>
      <c r="B52" s="509"/>
      <c r="C52" s="509">
        <v>18</v>
      </c>
      <c r="D52" s="530" t="s">
        <v>42</v>
      </c>
      <c r="E52" s="533" t="s">
        <v>43</v>
      </c>
      <c r="F52" s="522"/>
      <c r="G52" s="522"/>
      <c r="H52" s="509"/>
      <c r="I52" s="522"/>
      <c r="J52" s="509"/>
      <c r="K52" s="57" t="s">
        <v>13</v>
      </c>
      <c r="L52" s="57"/>
      <c r="M52" s="57"/>
      <c r="N52" s="57">
        <f>SUM(N49:N51)</f>
        <v>436275007</v>
      </c>
      <c r="O52" s="244" t="s">
        <v>13</v>
      </c>
      <c r="P52" s="510"/>
      <c r="Q52" s="511"/>
      <c r="R52" s="512"/>
      <c r="S52" s="245" t="s">
        <v>13</v>
      </c>
      <c r="T52" s="586"/>
      <c r="U52" s="587"/>
      <c r="V52" s="588"/>
      <c r="W52" s="246" t="s">
        <v>13</v>
      </c>
      <c r="X52" s="579"/>
      <c r="Y52" s="580"/>
      <c r="Z52" s="581"/>
      <c r="AA52" s="57" t="s">
        <v>18</v>
      </c>
      <c r="AB52" s="591"/>
      <c r="AC52" s="592"/>
      <c r="AD52" s="593"/>
      <c r="AE52" s="244" t="s">
        <v>18</v>
      </c>
      <c r="AF52" s="510"/>
      <c r="AG52" s="511"/>
      <c r="AH52" s="512"/>
      <c r="AI52" s="245" t="s">
        <v>18</v>
      </c>
      <c r="AJ52" s="586"/>
      <c r="AK52" s="587"/>
      <c r="AL52" s="588"/>
      <c r="AM52" s="246" t="s">
        <v>18</v>
      </c>
      <c r="AN52" s="579"/>
      <c r="AO52" s="580"/>
      <c r="AP52" s="581"/>
      <c r="AQ52" s="3"/>
      <c r="AR52" s="3"/>
      <c r="AS52" s="3"/>
      <c r="AT52" s="3"/>
      <c r="AU52" s="3"/>
      <c r="AV52" s="3"/>
      <c r="AW52" s="3"/>
      <c r="AX52" s="3"/>
      <c r="AY52" s="3"/>
      <c r="AZ52" s="3"/>
    </row>
    <row r="53" spans="1:52" ht="34.950000000000003" customHeight="1">
      <c r="A53" s="492" t="s">
        <v>113</v>
      </c>
      <c r="B53" s="517" t="s">
        <v>523</v>
      </c>
      <c r="C53" s="492" t="s">
        <v>44</v>
      </c>
      <c r="D53" s="518" t="s">
        <v>45</v>
      </c>
      <c r="E53" s="527" t="s">
        <v>46</v>
      </c>
      <c r="F53" s="515" t="s">
        <v>166</v>
      </c>
      <c r="G53" s="515" t="s">
        <v>81</v>
      </c>
      <c r="H53" s="492" t="s">
        <v>87</v>
      </c>
      <c r="I53" s="515" t="s">
        <v>98</v>
      </c>
      <c r="J53" s="492" t="s">
        <v>112</v>
      </c>
      <c r="K53" s="15"/>
      <c r="L53" s="15" t="s">
        <v>9</v>
      </c>
      <c r="M53" s="15" t="s">
        <v>10</v>
      </c>
      <c r="N53" s="15" t="s">
        <v>13</v>
      </c>
      <c r="O53" s="8"/>
      <c r="P53" s="8" t="s">
        <v>9</v>
      </c>
      <c r="Q53" s="8" t="s">
        <v>10</v>
      </c>
      <c r="R53" s="8" t="s">
        <v>13</v>
      </c>
      <c r="S53" s="16"/>
      <c r="T53" s="16" t="s">
        <v>9</v>
      </c>
      <c r="U53" s="16" t="s">
        <v>10</v>
      </c>
      <c r="V53" s="16" t="s">
        <v>13</v>
      </c>
      <c r="W53" s="17"/>
      <c r="X53" s="17" t="s">
        <v>9</v>
      </c>
      <c r="Y53" s="17" t="s">
        <v>10</v>
      </c>
      <c r="Z53" s="17" t="s">
        <v>13</v>
      </c>
      <c r="AA53" s="15"/>
      <c r="AB53" s="15" t="s">
        <v>9</v>
      </c>
      <c r="AC53" s="15" t="s">
        <v>10</v>
      </c>
      <c r="AD53" s="15" t="s">
        <v>18</v>
      </c>
      <c r="AE53" s="8"/>
      <c r="AF53" s="8" t="s">
        <v>9</v>
      </c>
      <c r="AG53" s="8" t="s">
        <v>10</v>
      </c>
      <c r="AH53" s="8" t="s">
        <v>18</v>
      </c>
      <c r="AI53" s="16"/>
      <c r="AJ53" s="16" t="s">
        <v>9</v>
      </c>
      <c r="AK53" s="16" t="s">
        <v>10</v>
      </c>
      <c r="AL53" s="16" t="s">
        <v>18</v>
      </c>
      <c r="AM53" s="17"/>
      <c r="AN53" s="17" t="s">
        <v>9</v>
      </c>
      <c r="AO53" s="17" t="s">
        <v>10</v>
      </c>
      <c r="AP53" s="17" t="s">
        <v>18</v>
      </c>
      <c r="AQ53" s="3"/>
      <c r="AR53" s="3"/>
      <c r="AS53" s="3"/>
      <c r="AT53" s="3"/>
      <c r="AU53" s="3"/>
      <c r="AV53" s="3"/>
      <c r="AW53" s="3"/>
      <c r="AX53" s="3"/>
      <c r="AY53" s="3"/>
      <c r="AZ53" s="3"/>
    </row>
    <row r="54" spans="1:52" ht="34.950000000000003" customHeight="1">
      <c r="A54" s="493"/>
      <c r="B54" s="493"/>
      <c r="C54" s="493" t="s">
        <v>44</v>
      </c>
      <c r="D54" s="519" t="s">
        <v>45</v>
      </c>
      <c r="E54" s="526" t="s">
        <v>46</v>
      </c>
      <c r="F54" s="514"/>
      <c r="G54" s="514"/>
      <c r="H54" s="493"/>
      <c r="I54" s="514"/>
      <c r="J54" s="493"/>
      <c r="K54" s="10" t="s">
        <v>11</v>
      </c>
      <c r="L54" s="495" t="s">
        <v>114</v>
      </c>
      <c r="M54" s="496"/>
      <c r="N54" s="10">
        <f>ID_19!B16</f>
        <v>86087444</v>
      </c>
      <c r="O54" s="11" t="s">
        <v>11</v>
      </c>
      <c r="P54" s="501" t="s">
        <v>114</v>
      </c>
      <c r="Q54" s="502"/>
      <c r="R54" s="503"/>
      <c r="S54" s="18" t="s">
        <v>11</v>
      </c>
      <c r="T54" s="551" t="s">
        <v>114</v>
      </c>
      <c r="U54" s="552"/>
      <c r="V54" s="553"/>
      <c r="W54" s="19" t="s">
        <v>11</v>
      </c>
      <c r="X54" s="557" t="s">
        <v>114</v>
      </c>
      <c r="Y54" s="558"/>
      <c r="Z54" s="559"/>
      <c r="AA54" s="10" t="s">
        <v>11</v>
      </c>
      <c r="AB54" s="495" t="s">
        <v>114</v>
      </c>
      <c r="AC54" s="589"/>
      <c r="AD54" s="496"/>
      <c r="AE54" s="11" t="s">
        <v>11</v>
      </c>
      <c r="AF54" s="501" t="s">
        <v>114</v>
      </c>
      <c r="AG54" s="502"/>
      <c r="AH54" s="503"/>
      <c r="AI54" s="18" t="s">
        <v>11</v>
      </c>
      <c r="AJ54" s="551" t="s">
        <v>114</v>
      </c>
      <c r="AK54" s="552"/>
      <c r="AL54" s="553"/>
      <c r="AM54" s="19" t="s">
        <v>11</v>
      </c>
      <c r="AN54" s="557" t="s">
        <v>114</v>
      </c>
      <c r="AO54" s="558"/>
      <c r="AP54" s="559"/>
      <c r="AQ54" s="3"/>
      <c r="AR54" s="3"/>
      <c r="AS54" s="3"/>
      <c r="AT54" s="3"/>
      <c r="AU54" s="3"/>
      <c r="AV54" s="3"/>
      <c r="AW54" s="3"/>
      <c r="AX54" s="3"/>
      <c r="AY54" s="3"/>
      <c r="AZ54" s="3"/>
    </row>
    <row r="55" spans="1:52" ht="34.950000000000003" customHeight="1">
      <c r="A55" s="493"/>
      <c r="B55" s="493"/>
      <c r="C55" s="493" t="s">
        <v>44</v>
      </c>
      <c r="D55" s="519" t="s">
        <v>45</v>
      </c>
      <c r="E55" s="526" t="s">
        <v>46</v>
      </c>
      <c r="F55" s="514"/>
      <c r="G55" s="514"/>
      <c r="H55" s="493"/>
      <c r="I55" s="514"/>
      <c r="J55" s="493"/>
      <c r="K55" s="9" t="s">
        <v>14</v>
      </c>
      <c r="L55" s="497"/>
      <c r="M55" s="498"/>
      <c r="N55" s="9">
        <f>ID_19!B17</f>
        <v>397373170</v>
      </c>
      <c r="O55" s="6" t="s">
        <v>14</v>
      </c>
      <c r="P55" s="504"/>
      <c r="Q55" s="505"/>
      <c r="R55" s="506"/>
      <c r="S55" s="13" t="s">
        <v>14</v>
      </c>
      <c r="T55" s="554"/>
      <c r="U55" s="555"/>
      <c r="V55" s="556"/>
      <c r="W55" s="14" t="s">
        <v>14</v>
      </c>
      <c r="X55" s="560"/>
      <c r="Y55" s="561"/>
      <c r="Z55" s="562"/>
      <c r="AA55" s="9" t="s">
        <v>14</v>
      </c>
      <c r="AB55" s="497"/>
      <c r="AC55" s="590"/>
      <c r="AD55" s="498"/>
      <c r="AE55" s="6" t="s">
        <v>14</v>
      </c>
      <c r="AF55" s="504"/>
      <c r="AG55" s="505"/>
      <c r="AH55" s="506"/>
      <c r="AI55" s="13" t="s">
        <v>14</v>
      </c>
      <c r="AJ55" s="554"/>
      <c r="AK55" s="555"/>
      <c r="AL55" s="556"/>
      <c r="AM55" s="14" t="s">
        <v>14</v>
      </c>
      <c r="AN55" s="560"/>
      <c r="AO55" s="561"/>
      <c r="AP55" s="562"/>
      <c r="AQ55" s="3"/>
      <c r="AR55" s="3"/>
      <c r="AS55" s="3"/>
      <c r="AT55" s="3"/>
      <c r="AU55" s="3"/>
      <c r="AV55" s="3"/>
      <c r="AW55" s="3"/>
      <c r="AX55" s="3"/>
      <c r="AY55" s="3"/>
      <c r="AZ55" s="3"/>
    </row>
    <row r="56" spans="1:52" ht="34.950000000000003" customHeight="1">
      <c r="A56" s="493"/>
      <c r="B56" s="493"/>
      <c r="C56" s="493" t="s">
        <v>44</v>
      </c>
      <c r="D56" s="519" t="s">
        <v>45</v>
      </c>
      <c r="E56" s="526" t="s">
        <v>46</v>
      </c>
      <c r="F56" s="514"/>
      <c r="G56" s="514"/>
      <c r="H56" s="493"/>
      <c r="I56" s="514"/>
      <c r="J56" s="493"/>
      <c r="K56" s="10" t="s">
        <v>12</v>
      </c>
      <c r="L56" s="499"/>
      <c r="M56" s="500"/>
      <c r="N56" s="10">
        <f>ID_19!B18</f>
        <v>615008508</v>
      </c>
      <c r="O56" s="11" t="s">
        <v>12</v>
      </c>
      <c r="P56" s="504"/>
      <c r="Q56" s="505"/>
      <c r="R56" s="506"/>
      <c r="S56" s="18" t="s">
        <v>12</v>
      </c>
      <c r="T56" s="554"/>
      <c r="U56" s="555"/>
      <c r="V56" s="556"/>
      <c r="W56" s="19" t="s">
        <v>12</v>
      </c>
      <c r="X56" s="560"/>
      <c r="Y56" s="561"/>
      <c r="Z56" s="562"/>
      <c r="AA56" s="10" t="s">
        <v>12</v>
      </c>
      <c r="AB56" s="497"/>
      <c r="AC56" s="590"/>
      <c r="AD56" s="498"/>
      <c r="AE56" s="11" t="s">
        <v>12</v>
      </c>
      <c r="AF56" s="504"/>
      <c r="AG56" s="505"/>
      <c r="AH56" s="506"/>
      <c r="AI56" s="18" t="s">
        <v>12</v>
      </c>
      <c r="AJ56" s="554"/>
      <c r="AK56" s="555"/>
      <c r="AL56" s="556"/>
      <c r="AM56" s="19" t="s">
        <v>12</v>
      </c>
      <c r="AN56" s="560"/>
      <c r="AO56" s="561"/>
      <c r="AP56" s="562"/>
      <c r="AQ56" s="3"/>
      <c r="AR56" s="3"/>
      <c r="AS56" s="3"/>
      <c r="AT56" s="3"/>
      <c r="AU56" s="3"/>
      <c r="AV56" s="3"/>
      <c r="AW56" s="3"/>
      <c r="AX56" s="3"/>
      <c r="AY56" s="3"/>
      <c r="AZ56" s="3"/>
    </row>
    <row r="57" spans="1:52" ht="34.950000000000003" customHeight="1" thickBot="1">
      <c r="A57" s="493"/>
      <c r="B57" s="493"/>
      <c r="C57" s="493" t="s">
        <v>44</v>
      </c>
      <c r="D57" s="519" t="s">
        <v>45</v>
      </c>
      <c r="E57" s="526" t="s">
        <v>46</v>
      </c>
      <c r="F57" s="514"/>
      <c r="G57" s="514"/>
      <c r="H57" s="493"/>
      <c r="I57" s="514"/>
      <c r="J57" s="493"/>
      <c r="K57" s="9" t="s">
        <v>13</v>
      </c>
      <c r="L57" s="9"/>
      <c r="M57" s="9"/>
      <c r="N57" s="9">
        <f>SUM(N54:N56)</f>
        <v>1098469122</v>
      </c>
      <c r="O57" s="6" t="s">
        <v>13</v>
      </c>
      <c r="P57" s="504"/>
      <c r="Q57" s="505"/>
      <c r="R57" s="506"/>
      <c r="S57" s="13" t="s">
        <v>13</v>
      </c>
      <c r="T57" s="554"/>
      <c r="U57" s="555"/>
      <c r="V57" s="556"/>
      <c r="W57" s="14" t="s">
        <v>13</v>
      </c>
      <c r="X57" s="560"/>
      <c r="Y57" s="561"/>
      <c r="Z57" s="562"/>
      <c r="AA57" s="9" t="s">
        <v>18</v>
      </c>
      <c r="AB57" s="497"/>
      <c r="AC57" s="590"/>
      <c r="AD57" s="498"/>
      <c r="AE57" s="6" t="s">
        <v>18</v>
      </c>
      <c r="AF57" s="504"/>
      <c r="AG57" s="505"/>
      <c r="AH57" s="506"/>
      <c r="AI57" s="13" t="s">
        <v>18</v>
      </c>
      <c r="AJ57" s="554"/>
      <c r="AK57" s="555"/>
      <c r="AL57" s="556"/>
      <c r="AM57" s="14" t="s">
        <v>17</v>
      </c>
      <c r="AN57" s="560"/>
      <c r="AO57" s="561"/>
      <c r="AP57" s="562"/>
      <c r="AQ57" s="3"/>
      <c r="AR57" s="3"/>
      <c r="AS57" s="3"/>
      <c r="AT57" s="3"/>
      <c r="AU57" s="3"/>
      <c r="AV57" s="3"/>
      <c r="AW57" s="3"/>
      <c r="AX57" s="3"/>
      <c r="AY57" s="3"/>
      <c r="AZ57" s="3"/>
    </row>
    <row r="58" spans="1:52" ht="34.950000000000003" customHeight="1">
      <c r="A58" s="507" t="s">
        <v>113</v>
      </c>
      <c r="B58" s="535" t="s">
        <v>523</v>
      </c>
      <c r="C58" s="507">
        <v>20</v>
      </c>
      <c r="D58" s="528" t="s">
        <v>47</v>
      </c>
      <c r="E58" s="531" t="s">
        <v>48</v>
      </c>
      <c r="F58" s="520" t="s">
        <v>166</v>
      </c>
      <c r="G58" s="520" t="s">
        <v>81</v>
      </c>
      <c r="H58" s="507" t="s">
        <v>87</v>
      </c>
      <c r="I58" s="520" t="s">
        <v>99</v>
      </c>
      <c r="J58" s="507">
        <v>2020</v>
      </c>
      <c r="K58" s="12"/>
      <c r="L58" s="12" t="s">
        <v>9</v>
      </c>
      <c r="M58" s="12" t="s">
        <v>10</v>
      </c>
      <c r="N58" s="12" t="s">
        <v>13</v>
      </c>
      <c r="O58" s="7"/>
      <c r="P58" s="7" t="s">
        <v>9</v>
      </c>
      <c r="Q58" s="7" t="s">
        <v>10</v>
      </c>
      <c r="R58" s="7" t="s">
        <v>13</v>
      </c>
      <c r="S58" s="20"/>
      <c r="T58" s="20" t="s">
        <v>9</v>
      </c>
      <c r="U58" s="20" t="s">
        <v>10</v>
      </c>
      <c r="V58" s="20" t="s">
        <v>13</v>
      </c>
      <c r="W58" s="21"/>
      <c r="X58" s="21" t="s">
        <v>9</v>
      </c>
      <c r="Y58" s="21" t="s">
        <v>10</v>
      </c>
      <c r="Z58" s="21" t="s">
        <v>13</v>
      </c>
      <c r="AA58" s="12"/>
      <c r="AB58" s="12" t="s">
        <v>9</v>
      </c>
      <c r="AC58" s="12" t="s">
        <v>10</v>
      </c>
      <c r="AD58" s="12" t="s">
        <v>18</v>
      </c>
      <c r="AE58" s="7"/>
      <c r="AF58" s="7" t="s">
        <v>9</v>
      </c>
      <c r="AG58" s="7" t="s">
        <v>10</v>
      </c>
      <c r="AH58" s="7" t="s">
        <v>18</v>
      </c>
      <c r="AI58" s="20"/>
      <c r="AJ58" s="20" t="s">
        <v>9</v>
      </c>
      <c r="AK58" s="20" t="s">
        <v>10</v>
      </c>
      <c r="AL58" s="20" t="s">
        <v>18</v>
      </c>
      <c r="AM58" s="21"/>
      <c r="AN58" s="21" t="s">
        <v>9</v>
      </c>
      <c r="AO58" s="21" t="s">
        <v>10</v>
      </c>
      <c r="AP58" s="21" t="s">
        <v>18</v>
      </c>
      <c r="AQ58" s="3"/>
      <c r="AR58" s="3"/>
      <c r="AS58" s="3"/>
      <c r="AT58" s="3"/>
      <c r="AU58" s="3"/>
      <c r="AV58" s="3"/>
      <c r="AW58" s="3"/>
      <c r="AX58" s="3"/>
      <c r="AY58" s="3"/>
      <c r="AZ58" s="3"/>
    </row>
    <row r="59" spans="1:52" ht="34.950000000000003" customHeight="1">
      <c r="A59" s="508"/>
      <c r="B59" s="536"/>
      <c r="C59" s="508">
        <v>20</v>
      </c>
      <c r="D59" s="529" t="s">
        <v>47</v>
      </c>
      <c r="E59" s="532" t="s">
        <v>48</v>
      </c>
      <c r="F59" s="521"/>
      <c r="G59" s="521"/>
      <c r="H59" s="508"/>
      <c r="I59" s="521"/>
      <c r="J59" s="508"/>
      <c r="K59" s="10" t="s">
        <v>11</v>
      </c>
      <c r="L59" s="495" t="s">
        <v>114</v>
      </c>
      <c r="M59" s="496"/>
      <c r="N59" s="10">
        <f>ID_20!B17</f>
        <v>86274239</v>
      </c>
      <c r="O59" s="11" t="s">
        <v>11</v>
      </c>
      <c r="P59" s="501" t="s">
        <v>114</v>
      </c>
      <c r="Q59" s="502"/>
      <c r="R59" s="503"/>
      <c r="S59" s="18" t="s">
        <v>11</v>
      </c>
      <c r="T59" s="551" t="s">
        <v>114</v>
      </c>
      <c r="U59" s="552"/>
      <c r="V59" s="553"/>
      <c r="W59" s="19" t="s">
        <v>11</v>
      </c>
      <c r="X59" s="557" t="s">
        <v>114</v>
      </c>
      <c r="Y59" s="558"/>
      <c r="Z59" s="559"/>
      <c r="AA59" s="10" t="s">
        <v>11</v>
      </c>
      <c r="AB59" s="495" t="s">
        <v>114</v>
      </c>
      <c r="AC59" s="589"/>
      <c r="AD59" s="496"/>
      <c r="AE59" s="11" t="s">
        <v>11</v>
      </c>
      <c r="AF59" s="501" t="s">
        <v>114</v>
      </c>
      <c r="AG59" s="502"/>
      <c r="AH59" s="503"/>
      <c r="AI59" s="18" t="s">
        <v>11</v>
      </c>
      <c r="AJ59" s="551" t="s">
        <v>114</v>
      </c>
      <c r="AK59" s="552"/>
      <c r="AL59" s="553"/>
      <c r="AM59" s="19" t="s">
        <v>11</v>
      </c>
      <c r="AN59" s="557" t="s">
        <v>114</v>
      </c>
      <c r="AO59" s="558"/>
      <c r="AP59" s="559"/>
      <c r="AQ59" s="3"/>
      <c r="AR59" s="3"/>
      <c r="AS59" s="3"/>
      <c r="AT59" s="3"/>
      <c r="AU59" s="3"/>
      <c r="AV59" s="3"/>
      <c r="AW59" s="3"/>
      <c r="AX59" s="3"/>
      <c r="AY59" s="3"/>
      <c r="AZ59" s="3"/>
    </row>
    <row r="60" spans="1:52" ht="34.950000000000003" customHeight="1">
      <c r="A60" s="508"/>
      <c r="B60" s="536"/>
      <c r="C60" s="508">
        <v>20</v>
      </c>
      <c r="D60" s="529" t="s">
        <v>47</v>
      </c>
      <c r="E60" s="532" t="s">
        <v>48</v>
      </c>
      <c r="F60" s="521"/>
      <c r="G60" s="521"/>
      <c r="H60" s="508"/>
      <c r="I60" s="521"/>
      <c r="J60" s="508"/>
      <c r="K60" s="9" t="s">
        <v>14</v>
      </c>
      <c r="L60" s="497"/>
      <c r="M60" s="498"/>
      <c r="N60" s="9">
        <f>ID_20!B18</f>
        <v>1184349446</v>
      </c>
      <c r="O60" s="6" t="s">
        <v>14</v>
      </c>
      <c r="P60" s="504"/>
      <c r="Q60" s="505"/>
      <c r="R60" s="506"/>
      <c r="S60" s="13" t="s">
        <v>14</v>
      </c>
      <c r="T60" s="554"/>
      <c r="U60" s="555"/>
      <c r="V60" s="556"/>
      <c r="W60" s="14" t="s">
        <v>14</v>
      </c>
      <c r="X60" s="560"/>
      <c r="Y60" s="561"/>
      <c r="Z60" s="562"/>
      <c r="AA60" s="9" t="s">
        <v>14</v>
      </c>
      <c r="AB60" s="497"/>
      <c r="AC60" s="590"/>
      <c r="AD60" s="498"/>
      <c r="AE60" s="6" t="s">
        <v>14</v>
      </c>
      <c r="AF60" s="504"/>
      <c r="AG60" s="505"/>
      <c r="AH60" s="506"/>
      <c r="AI60" s="13" t="s">
        <v>14</v>
      </c>
      <c r="AJ60" s="554"/>
      <c r="AK60" s="555"/>
      <c r="AL60" s="556"/>
      <c r="AM60" s="14" t="s">
        <v>14</v>
      </c>
      <c r="AN60" s="560"/>
      <c r="AO60" s="561"/>
      <c r="AP60" s="562"/>
      <c r="AQ60" s="3"/>
      <c r="AR60" s="3"/>
      <c r="AS60" s="3"/>
      <c r="AT60" s="3"/>
      <c r="AU60" s="3"/>
      <c r="AV60" s="3"/>
      <c r="AW60" s="3"/>
      <c r="AX60" s="3"/>
      <c r="AY60" s="3"/>
      <c r="AZ60" s="3"/>
    </row>
    <row r="61" spans="1:52" ht="34.950000000000003" customHeight="1">
      <c r="A61" s="508"/>
      <c r="B61" s="536"/>
      <c r="C61" s="508">
        <v>20</v>
      </c>
      <c r="D61" s="529" t="s">
        <v>47</v>
      </c>
      <c r="E61" s="532" t="s">
        <v>48</v>
      </c>
      <c r="F61" s="521"/>
      <c r="G61" s="521"/>
      <c r="H61" s="508"/>
      <c r="I61" s="521"/>
      <c r="J61" s="508"/>
      <c r="K61" s="10" t="s">
        <v>12</v>
      </c>
      <c r="L61" s="499"/>
      <c r="M61" s="500"/>
      <c r="N61" s="10">
        <f>ID_20!B19</f>
        <v>11799517504</v>
      </c>
      <c r="O61" s="11" t="s">
        <v>12</v>
      </c>
      <c r="P61" s="504"/>
      <c r="Q61" s="505"/>
      <c r="R61" s="506"/>
      <c r="S61" s="18" t="s">
        <v>12</v>
      </c>
      <c r="T61" s="554"/>
      <c r="U61" s="555"/>
      <c r="V61" s="556"/>
      <c r="W61" s="19" t="s">
        <v>12</v>
      </c>
      <c r="X61" s="560"/>
      <c r="Y61" s="561"/>
      <c r="Z61" s="562"/>
      <c r="AA61" s="10" t="s">
        <v>12</v>
      </c>
      <c r="AB61" s="497"/>
      <c r="AC61" s="590"/>
      <c r="AD61" s="498"/>
      <c r="AE61" s="11" t="s">
        <v>12</v>
      </c>
      <c r="AF61" s="504"/>
      <c r="AG61" s="505"/>
      <c r="AH61" s="506"/>
      <c r="AI61" s="18" t="s">
        <v>12</v>
      </c>
      <c r="AJ61" s="554"/>
      <c r="AK61" s="555"/>
      <c r="AL61" s="556"/>
      <c r="AM61" s="19" t="s">
        <v>12</v>
      </c>
      <c r="AN61" s="560"/>
      <c r="AO61" s="561"/>
      <c r="AP61" s="562"/>
      <c r="AQ61" s="3"/>
      <c r="AR61" s="3"/>
      <c r="AS61" s="3"/>
      <c r="AT61" s="3"/>
      <c r="AU61" s="3"/>
      <c r="AV61" s="3"/>
      <c r="AW61" s="3"/>
      <c r="AX61" s="3"/>
      <c r="AY61" s="3"/>
      <c r="AZ61" s="3"/>
    </row>
    <row r="62" spans="1:52" ht="34.950000000000003" customHeight="1" thickBot="1">
      <c r="A62" s="509"/>
      <c r="B62" s="537"/>
      <c r="C62" s="509">
        <v>20</v>
      </c>
      <c r="D62" s="530" t="s">
        <v>47</v>
      </c>
      <c r="E62" s="533" t="s">
        <v>48</v>
      </c>
      <c r="F62" s="522"/>
      <c r="G62" s="522"/>
      <c r="H62" s="509"/>
      <c r="I62" s="522"/>
      <c r="J62" s="509"/>
      <c r="K62" s="57" t="s">
        <v>13</v>
      </c>
      <c r="L62" s="57"/>
      <c r="M62" s="57"/>
      <c r="N62" s="57">
        <f>SUM(N59:N61)</f>
        <v>13070141189</v>
      </c>
      <c r="O62" s="244" t="s">
        <v>13</v>
      </c>
      <c r="P62" s="510"/>
      <c r="Q62" s="511"/>
      <c r="R62" s="512"/>
      <c r="S62" s="245" t="s">
        <v>13</v>
      </c>
      <c r="T62" s="586"/>
      <c r="U62" s="587"/>
      <c r="V62" s="588"/>
      <c r="W62" s="246" t="s">
        <v>13</v>
      </c>
      <c r="X62" s="579"/>
      <c r="Y62" s="580"/>
      <c r="Z62" s="581"/>
      <c r="AA62" s="57" t="s">
        <v>18</v>
      </c>
      <c r="AB62" s="591"/>
      <c r="AC62" s="592"/>
      <c r="AD62" s="593"/>
      <c r="AE62" s="244" t="s">
        <v>18</v>
      </c>
      <c r="AF62" s="510"/>
      <c r="AG62" s="511"/>
      <c r="AH62" s="512"/>
      <c r="AI62" s="245" t="s">
        <v>18</v>
      </c>
      <c r="AJ62" s="586"/>
      <c r="AK62" s="587"/>
      <c r="AL62" s="588"/>
      <c r="AM62" s="246" t="s">
        <v>18</v>
      </c>
      <c r="AN62" s="579"/>
      <c r="AO62" s="580"/>
      <c r="AP62" s="581"/>
      <c r="AQ62" s="3"/>
      <c r="AR62" s="3"/>
      <c r="AS62" s="3"/>
      <c r="AT62" s="3"/>
      <c r="AU62" s="3"/>
      <c r="AV62" s="3"/>
      <c r="AW62" s="3"/>
      <c r="AX62" s="3"/>
      <c r="AY62" s="3"/>
      <c r="AZ62" s="3"/>
    </row>
    <row r="63" spans="1:52" ht="34.950000000000003" customHeight="1">
      <c r="A63" s="492" t="s">
        <v>113</v>
      </c>
      <c r="B63" s="517" t="s">
        <v>523</v>
      </c>
      <c r="C63" s="492" t="s">
        <v>49</v>
      </c>
      <c r="D63" s="518" t="s">
        <v>50</v>
      </c>
      <c r="E63" s="527" t="s">
        <v>51</v>
      </c>
      <c r="F63" s="515" t="s">
        <v>166</v>
      </c>
      <c r="G63" s="515" t="s">
        <v>81</v>
      </c>
      <c r="H63" s="492" t="s">
        <v>87</v>
      </c>
      <c r="I63" s="515" t="s">
        <v>100</v>
      </c>
      <c r="J63" s="492">
        <v>2020</v>
      </c>
      <c r="K63" s="15"/>
      <c r="L63" s="15" t="s">
        <v>9</v>
      </c>
      <c r="M63" s="15" t="s">
        <v>10</v>
      </c>
      <c r="N63" s="15" t="s">
        <v>13</v>
      </c>
      <c r="O63" s="8"/>
      <c r="P63" s="8" t="s">
        <v>9</v>
      </c>
      <c r="Q63" s="8" t="s">
        <v>10</v>
      </c>
      <c r="R63" s="8" t="s">
        <v>13</v>
      </c>
      <c r="S63" s="16"/>
      <c r="T63" s="16" t="s">
        <v>9</v>
      </c>
      <c r="U63" s="16" t="s">
        <v>10</v>
      </c>
      <c r="V63" s="16" t="s">
        <v>13</v>
      </c>
      <c r="W63" s="17"/>
      <c r="X63" s="17" t="s">
        <v>9</v>
      </c>
      <c r="Y63" s="17" t="s">
        <v>10</v>
      </c>
      <c r="Z63" s="17" t="s">
        <v>13</v>
      </c>
      <c r="AA63" s="15"/>
      <c r="AB63" s="15" t="s">
        <v>9</v>
      </c>
      <c r="AC63" s="15" t="s">
        <v>10</v>
      </c>
      <c r="AD63" s="15" t="s">
        <v>18</v>
      </c>
      <c r="AE63" s="8"/>
      <c r="AF63" s="8" t="s">
        <v>9</v>
      </c>
      <c r="AG63" s="8" t="s">
        <v>10</v>
      </c>
      <c r="AH63" s="8" t="s">
        <v>18</v>
      </c>
      <c r="AI63" s="16"/>
      <c r="AJ63" s="16" t="s">
        <v>9</v>
      </c>
      <c r="AK63" s="16" t="s">
        <v>10</v>
      </c>
      <c r="AL63" s="16" t="s">
        <v>18</v>
      </c>
      <c r="AM63" s="17"/>
      <c r="AN63" s="17" t="s">
        <v>9</v>
      </c>
      <c r="AO63" s="17" t="s">
        <v>10</v>
      </c>
      <c r="AP63" s="17" t="s">
        <v>18</v>
      </c>
      <c r="AQ63" s="3"/>
      <c r="AR63" s="3"/>
      <c r="AS63" s="3"/>
      <c r="AT63" s="3"/>
      <c r="AU63" s="3"/>
      <c r="AV63" s="3"/>
      <c r="AW63" s="3"/>
      <c r="AX63" s="3"/>
      <c r="AY63" s="3"/>
      <c r="AZ63" s="3"/>
    </row>
    <row r="64" spans="1:52" ht="34.950000000000003" customHeight="1">
      <c r="A64" s="493"/>
      <c r="B64" s="493"/>
      <c r="C64" s="493" t="s">
        <v>49</v>
      </c>
      <c r="D64" s="519" t="s">
        <v>50</v>
      </c>
      <c r="E64" s="526" t="s">
        <v>51</v>
      </c>
      <c r="F64" s="514"/>
      <c r="G64" s="514"/>
      <c r="H64" s="493"/>
      <c r="I64" s="514"/>
      <c r="J64" s="493"/>
      <c r="K64" s="10" t="s">
        <v>11</v>
      </c>
      <c r="L64" s="495" t="s">
        <v>114</v>
      </c>
      <c r="M64" s="496"/>
      <c r="N64" s="10">
        <f>ID_21!B22</f>
        <v>277417613.66999996</v>
      </c>
      <c r="O64" s="11" t="s">
        <v>11</v>
      </c>
      <c r="P64" s="501" t="s">
        <v>114</v>
      </c>
      <c r="Q64" s="502"/>
      <c r="R64" s="503"/>
      <c r="S64" s="18" t="s">
        <v>11</v>
      </c>
      <c r="T64" s="551" t="s">
        <v>114</v>
      </c>
      <c r="U64" s="552"/>
      <c r="V64" s="553"/>
      <c r="W64" s="19" t="s">
        <v>11</v>
      </c>
      <c r="X64" s="557" t="s">
        <v>114</v>
      </c>
      <c r="Y64" s="558"/>
      <c r="Z64" s="559"/>
      <c r="AA64" s="10" t="s">
        <v>11</v>
      </c>
      <c r="AB64" s="495" t="s">
        <v>114</v>
      </c>
      <c r="AC64" s="589"/>
      <c r="AD64" s="496"/>
      <c r="AE64" s="11" t="s">
        <v>11</v>
      </c>
      <c r="AF64" s="501" t="s">
        <v>114</v>
      </c>
      <c r="AG64" s="502"/>
      <c r="AH64" s="503"/>
      <c r="AI64" s="18" t="s">
        <v>11</v>
      </c>
      <c r="AJ64" s="551" t="s">
        <v>114</v>
      </c>
      <c r="AK64" s="552"/>
      <c r="AL64" s="553"/>
      <c r="AM64" s="19" t="s">
        <v>11</v>
      </c>
      <c r="AN64" s="557" t="s">
        <v>114</v>
      </c>
      <c r="AO64" s="558"/>
      <c r="AP64" s="559"/>
      <c r="AQ64" s="3"/>
      <c r="AR64" s="3"/>
      <c r="AS64" s="3"/>
      <c r="AT64" s="3"/>
      <c r="AU64" s="3"/>
      <c r="AV64" s="3"/>
      <c r="AW64" s="3"/>
      <c r="AX64" s="3"/>
      <c r="AY64" s="3"/>
      <c r="AZ64" s="3"/>
    </row>
    <row r="65" spans="1:52" ht="34.950000000000003" customHeight="1">
      <c r="A65" s="493"/>
      <c r="B65" s="493"/>
      <c r="C65" s="493" t="s">
        <v>49</v>
      </c>
      <c r="D65" s="519" t="s">
        <v>50</v>
      </c>
      <c r="E65" s="526" t="s">
        <v>51</v>
      </c>
      <c r="F65" s="514"/>
      <c r="G65" s="514"/>
      <c r="H65" s="493"/>
      <c r="I65" s="514"/>
      <c r="J65" s="493"/>
      <c r="K65" s="9" t="s">
        <v>14</v>
      </c>
      <c r="L65" s="497"/>
      <c r="M65" s="498"/>
      <c r="N65" s="9">
        <f>ID_21!B23</f>
        <v>1746457312.3299999</v>
      </c>
      <c r="O65" s="6" t="s">
        <v>14</v>
      </c>
      <c r="P65" s="504"/>
      <c r="Q65" s="505"/>
      <c r="R65" s="506"/>
      <c r="S65" s="13" t="s">
        <v>14</v>
      </c>
      <c r="T65" s="554"/>
      <c r="U65" s="555"/>
      <c r="V65" s="556"/>
      <c r="W65" s="14" t="s">
        <v>14</v>
      </c>
      <c r="X65" s="560"/>
      <c r="Y65" s="561"/>
      <c r="Z65" s="562"/>
      <c r="AA65" s="9" t="s">
        <v>14</v>
      </c>
      <c r="AB65" s="497"/>
      <c r="AC65" s="590"/>
      <c r="AD65" s="498"/>
      <c r="AE65" s="6" t="s">
        <v>14</v>
      </c>
      <c r="AF65" s="504"/>
      <c r="AG65" s="505"/>
      <c r="AH65" s="506"/>
      <c r="AI65" s="13" t="s">
        <v>14</v>
      </c>
      <c r="AJ65" s="554"/>
      <c r="AK65" s="555"/>
      <c r="AL65" s="556"/>
      <c r="AM65" s="14" t="s">
        <v>14</v>
      </c>
      <c r="AN65" s="560"/>
      <c r="AO65" s="561"/>
      <c r="AP65" s="562"/>
      <c r="AQ65" s="3"/>
      <c r="AR65" s="3"/>
      <c r="AS65" s="3"/>
      <c r="AT65" s="3"/>
      <c r="AU65" s="3"/>
      <c r="AV65" s="3"/>
      <c r="AW65" s="3"/>
      <c r="AX65" s="3"/>
      <c r="AY65" s="3"/>
      <c r="AZ65" s="3"/>
    </row>
    <row r="66" spans="1:52" ht="34.950000000000003" customHeight="1">
      <c r="A66" s="493"/>
      <c r="B66" s="493"/>
      <c r="C66" s="493" t="s">
        <v>49</v>
      </c>
      <c r="D66" s="519" t="s">
        <v>50</v>
      </c>
      <c r="E66" s="526" t="s">
        <v>51</v>
      </c>
      <c r="F66" s="514"/>
      <c r="G66" s="514"/>
      <c r="H66" s="493"/>
      <c r="I66" s="514"/>
      <c r="J66" s="493"/>
      <c r="K66" s="10" t="s">
        <v>12</v>
      </c>
      <c r="L66" s="499"/>
      <c r="M66" s="500"/>
      <c r="N66" s="10">
        <f>ID_21!B24</f>
        <v>8468415268</v>
      </c>
      <c r="O66" s="11" t="s">
        <v>12</v>
      </c>
      <c r="P66" s="504"/>
      <c r="Q66" s="505"/>
      <c r="R66" s="506"/>
      <c r="S66" s="18" t="s">
        <v>12</v>
      </c>
      <c r="T66" s="554"/>
      <c r="U66" s="555"/>
      <c r="V66" s="556"/>
      <c r="W66" s="19" t="s">
        <v>12</v>
      </c>
      <c r="X66" s="560"/>
      <c r="Y66" s="561"/>
      <c r="Z66" s="562"/>
      <c r="AA66" s="10" t="s">
        <v>12</v>
      </c>
      <c r="AB66" s="497"/>
      <c r="AC66" s="590"/>
      <c r="AD66" s="498"/>
      <c r="AE66" s="11" t="s">
        <v>12</v>
      </c>
      <c r="AF66" s="504"/>
      <c r="AG66" s="505"/>
      <c r="AH66" s="506"/>
      <c r="AI66" s="18" t="s">
        <v>12</v>
      </c>
      <c r="AJ66" s="554"/>
      <c r="AK66" s="555"/>
      <c r="AL66" s="556"/>
      <c r="AM66" s="19" t="s">
        <v>12</v>
      </c>
      <c r="AN66" s="560"/>
      <c r="AO66" s="561"/>
      <c r="AP66" s="562"/>
      <c r="AQ66" s="3"/>
      <c r="AR66" s="3"/>
      <c r="AS66" s="3"/>
      <c r="AT66" s="3"/>
      <c r="AU66" s="3"/>
      <c r="AV66" s="3"/>
      <c r="AW66" s="3"/>
      <c r="AX66" s="3"/>
      <c r="AY66" s="3"/>
      <c r="AZ66" s="3"/>
    </row>
    <row r="67" spans="1:52" ht="34.950000000000003" customHeight="1" thickBot="1">
      <c r="A67" s="493"/>
      <c r="B67" s="493"/>
      <c r="C67" s="493" t="s">
        <v>49</v>
      </c>
      <c r="D67" s="519" t="s">
        <v>50</v>
      </c>
      <c r="E67" s="526" t="s">
        <v>51</v>
      </c>
      <c r="F67" s="514"/>
      <c r="G67" s="514"/>
      <c r="H67" s="493"/>
      <c r="I67" s="514"/>
      <c r="J67" s="493"/>
      <c r="K67" s="9" t="s">
        <v>13</v>
      </c>
      <c r="L67" s="9"/>
      <c r="M67" s="9"/>
      <c r="N67" s="9">
        <f>SUM(N64:N66)</f>
        <v>10492290194</v>
      </c>
      <c r="O67" s="6" t="s">
        <v>13</v>
      </c>
      <c r="P67" s="504"/>
      <c r="Q67" s="505"/>
      <c r="R67" s="506"/>
      <c r="S67" s="13" t="s">
        <v>13</v>
      </c>
      <c r="T67" s="554"/>
      <c r="U67" s="555"/>
      <c r="V67" s="556"/>
      <c r="W67" s="14" t="s">
        <v>13</v>
      </c>
      <c r="X67" s="560"/>
      <c r="Y67" s="561"/>
      <c r="Z67" s="562"/>
      <c r="AA67" s="9" t="s">
        <v>18</v>
      </c>
      <c r="AB67" s="497"/>
      <c r="AC67" s="590"/>
      <c r="AD67" s="498"/>
      <c r="AE67" s="6" t="s">
        <v>18</v>
      </c>
      <c r="AF67" s="504"/>
      <c r="AG67" s="505"/>
      <c r="AH67" s="506"/>
      <c r="AI67" s="13" t="s">
        <v>18</v>
      </c>
      <c r="AJ67" s="554"/>
      <c r="AK67" s="555"/>
      <c r="AL67" s="556"/>
      <c r="AM67" s="14" t="s">
        <v>17</v>
      </c>
      <c r="AN67" s="560"/>
      <c r="AO67" s="561"/>
      <c r="AP67" s="562"/>
      <c r="AQ67" s="3"/>
      <c r="AR67" s="3"/>
      <c r="AS67" s="3"/>
      <c r="AT67" s="3"/>
      <c r="AU67" s="3"/>
      <c r="AV67" s="3"/>
      <c r="AW67" s="3"/>
      <c r="AX67" s="3"/>
      <c r="AY67" s="3"/>
      <c r="AZ67" s="3"/>
    </row>
    <row r="68" spans="1:52" ht="34.950000000000003" customHeight="1">
      <c r="A68" s="507" t="s">
        <v>113</v>
      </c>
      <c r="B68" s="507" t="s">
        <v>523</v>
      </c>
      <c r="C68" s="507">
        <v>22</v>
      </c>
      <c r="D68" s="528" t="s">
        <v>52</v>
      </c>
      <c r="E68" s="531" t="s">
        <v>53</v>
      </c>
      <c r="F68" s="520" t="s">
        <v>166</v>
      </c>
      <c r="G68" s="520" t="s">
        <v>81</v>
      </c>
      <c r="H68" s="507" t="s">
        <v>87</v>
      </c>
      <c r="I68" s="520" t="s">
        <v>101</v>
      </c>
      <c r="J68" s="507">
        <v>2020</v>
      </c>
      <c r="K68" s="12"/>
      <c r="L68" s="12" t="s">
        <v>9</v>
      </c>
      <c r="M68" s="12" t="s">
        <v>10</v>
      </c>
      <c r="N68" s="12" t="s">
        <v>13</v>
      </c>
      <c r="O68" s="7"/>
      <c r="P68" s="7" t="s">
        <v>9</v>
      </c>
      <c r="Q68" s="7" t="s">
        <v>10</v>
      </c>
      <c r="R68" s="7" t="s">
        <v>13</v>
      </c>
      <c r="S68" s="20"/>
      <c r="T68" s="20" t="s">
        <v>9</v>
      </c>
      <c r="U68" s="20" t="s">
        <v>10</v>
      </c>
      <c r="V68" s="20" t="s">
        <v>13</v>
      </c>
      <c r="W68" s="21"/>
      <c r="X68" s="21" t="s">
        <v>9</v>
      </c>
      <c r="Y68" s="21" t="s">
        <v>10</v>
      </c>
      <c r="Z68" s="21" t="s">
        <v>13</v>
      </c>
      <c r="AA68" s="12"/>
      <c r="AB68" s="12" t="s">
        <v>9</v>
      </c>
      <c r="AC68" s="12" t="s">
        <v>10</v>
      </c>
      <c r="AD68" s="12" t="s">
        <v>18</v>
      </c>
      <c r="AE68" s="7"/>
      <c r="AF68" s="7" t="s">
        <v>9</v>
      </c>
      <c r="AG68" s="7" t="s">
        <v>10</v>
      </c>
      <c r="AH68" s="7" t="s">
        <v>18</v>
      </c>
      <c r="AI68" s="20"/>
      <c r="AJ68" s="20" t="s">
        <v>9</v>
      </c>
      <c r="AK68" s="20" t="s">
        <v>10</v>
      </c>
      <c r="AL68" s="20" t="s">
        <v>18</v>
      </c>
      <c r="AM68" s="21"/>
      <c r="AN68" s="21" t="s">
        <v>9</v>
      </c>
      <c r="AO68" s="21" t="s">
        <v>10</v>
      </c>
      <c r="AP68" s="21" t="s">
        <v>18</v>
      </c>
      <c r="AQ68" s="3"/>
      <c r="AR68" s="3"/>
      <c r="AS68" s="3"/>
      <c r="AT68" s="3"/>
      <c r="AU68" s="3"/>
      <c r="AV68" s="3"/>
      <c r="AW68" s="3"/>
      <c r="AX68" s="3"/>
      <c r="AY68" s="3"/>
      <c r="AZ68" s="3"/>
    </row>
    <row r="69" spans="1:52" ht="34.950000000000003" customHeight="1">
      <c r="A69" s="508"/>
      <c r="B69" s="508"/>
      <c r="C69" s="508">
        <v>22</v>
      </c>
      <c r="D69" s="529" t="s">
        <v>52</v>
      </c>
      <c r="E69" s="532" t="s">
        <v>53</v>
      </c>
      <c r="F69" s="521"/>
      <c r="G69" s="521"/>
      <c r="H69" s="508"/>
      <c r="I69" s="521"/>
      <c r="J69" s="508"/>
      <c r="K69" s="10" t="s">
        <v>11</v>
      </c>
      <c r="L69" s="495" t="s">
        <v>114</v>
      </c>
      <c r="M69" s="496"/>
      <c r="N69" s="10">
        <f>ID_22!B16</f>
        <v>345540006</v>
      </c>
      <c r="O69" s="11" t="s">
        <v>11</v>
      </c>
      <c r="P69" s="501" t="s">
        <v>114</v>
      </c>
      <c r="Q69" s="502"/>
      <c r="R69" s="503"/>
      <c r="S69" s="18" t="s">
        <v>11</v>
      </c>
      <c r="T69" s="551" t="s">
        <v>114</v>
      </c>
      <c r="U69" s="552"/>
      <c r="V69" s="553"/>
      <c r="W69" s="19" t="s">
        <v>11</v>
      </c>
      <c r="X69" s="557" t="s">
        <v>114</v>
      </c>
      <c r="Y69" s="558"/>
      <c r="Z69" s="559"/>
      <c r="AA69" s="10" t="s">
        <v>11</v>
      </c>
      <c r="AB69" s="495" t="s">
        <v>114</v>
      </c>
      <c r="AC69" s="589"/>
      <c r="AD69" s="496"/>
      <c r="AE69" s="11" t="s">
        <v>11</v>
      </c>
      <c r="AF69" s="501" t="s">
        <v>114</v>
      </c>
      <c r="AG69" s="502"/>
      <c r="AH69" s="503"/>
      <c r="AI69" s="18" t="s">
        <v>11</v>
      </c>
      <c r="AJ69" s="551" t="s">
        <v>114</v>
      </c>
      <c r="AK69" s="552"/>
      <c r="AL69" s="553"/>
      <c r="AM69" s="19" t="s">
        <v>11</v>
      </c>
      <c r="AN69" s="557" t="s">
        <v>114</v>
      </c>
      <c r="AO69" s="558"/>
      <c r="AP69" s="559"/>
      <c r="AQ69" s="3"/>
      <c r="AR69" s="3"/>
      <c r="AS69" s="3"/>
      <c r="AT69" s="3"/>
      <c r="AU69" s="3"/>
      <c r="AV69" s="3"/>
      <c r="AW69" s="3"/>
      <c r="AX69" s="3"/>
      <c r="AY69" s="3"/>
      <c r="AZ69" s="3"/>
    </row>
    <row r="70" spans="1:52" ht="34.950000000000003" customHeight="1">
      <c r="A70" s="508"/>
      <c r="B70" s="508"/>
      <c r="C70" s="508">
        <v>22</v>
      </c>
      <c r="D70" s="529" t="s">
        <v>52</v>
      </c>
      <c r="E70" s="532" t="s">
        <v>53</v>
      </c>
      <c r="F70" s="521"/>
      <c r="G70" s="521"/>
      <c r="H70" s="508"/>
      <c r="I70" s="521"/>
      <c r="J70" s="508"/>
      <c r="K70" s="9" t="s">
        <v>14</v>
      </c>
      <c r="L70" s="497"/>
      <c r="M70" s="498"/>
      <c r="N70" s="9">
        <f>ID_22!B17</f>
        <v>1513755732</v>
      </c>
      <c r="O70" s="6" t="s">
        <v>14</v>
      </c>
      <c r="P70" s="504"/>
      <c r="Q70" s="505"/>
      <c r="R70" s="506"/>
      <c r="S70" s="13" t="s">
        <v>14</v>
      </c>
      <c r="T70" s="554"/>
      <c r="U70" s="555"/>
      <c r="V70" s="556"/>
      <c r="W70" s="14" t="s">
        <v>14</v>
      </c>
      <c r="X70" s="560"/>
      <c r="Y70" s="561"/>
      <c r="Z70" s="562"/>
      <c r="AA70" s="9" t="s">
        <v>14</v>
      </c>
      <c r="AB70" s="497"/>
      <c r="AC70" s="590"/>
      <c r="AD70" s="498"/>
      <c r="AE70" s="6" t="s">
        <v>14</v>
      </c>
      <c r="AF70" s="504"/>
      <c r="AG70" s="505"/>
      <c r="AH70" s="506"/>
      <c r="AI70" s="13" t="s">
        <v>14</v>
      </c>
      <c r="AJ70" s="554"/>
      <c r="AK70" s="555"/>
      <c r="AL70" s="556"/>
      <c r="AM70" s="14" t="s">
        <v>14</v>
      </c>
      <c r="AN70" s="560"/>
      <c r="AO70" s="561"/>
      <c r="AP70" s="562"/>
      <c r="AQ70" s="3"/>
      <c r="AR70" s="3"/>
      <c r="AS70" s="3"/>
      <c r="AT70" s="3"/>
      <c r="AU70" s="3"/>
      <c r="AV70" s="3"/>
      <c r="AW70" s="3"/>
      <c r="AX70" s="3"/>
      <c r="AY70" s="3"/>
      <c r="AZ70" s="3"/>
    </row>
    <row r="71" spans="1:52" ht="34.950000000000003" customHeight="1">
      <c r="A71" s="508"/>
      <c r="B71" s="508"/>
      <c r="C71" s="508">
        <v>22</v>
      </c>
      <c r="D71" s="529" t="s">
        <v>52</v>
      </c>
      <c r="E71" s="532" t="s">
        <v>53</v>
      </c>
      <c r="F71" s="521"/>
      <c r="G71" s="521"/>
      <c r="H71" s="508"/>
      <c r="I71" s="521"/>
      <c r="J71" s="508"/>
      <c r="K71" s="10" t="s">
        <v>12</v>
      </c>
      <c r="L71" s="499"/>
      <c r="M71" s="500"/>
      <c r="N71" s="10">
        <f>ID_22!B18</f>
        <v>1731732425</v>
      </c>
      <c r="O71" s="11" t="s">
        <v>12</v>
      </c>
      <c r="P71" s="504"/>
      <c r="Q71" s="505"/>
      <c r="R71" s="506"/>
      <c r="S71" s="18" t="s">
        <v>12</v>
      </c>
      <c r="T71" s="554"/>
      <c r="U71" s="555"/>
      <c r="V71" s="556"/>
      <c r="W71" s="19" t="s">
        <v>12</v>
      </c>
      <c r="X71" s="560"/>
      <c r="Y71" s="561"/>
      <c r="Z71" s="562"/>
      <c r="AA71" s="10" t="s">
        <v>12</v>
      </c>
      <c r="AB71" s="497"/>
      <c r="AC71" s="590"/>
      <c r="AD71" s="498"/>
      <c r="AE71" s="11" t="s">
        <v>12</v>
      </c>
      <c r="AF71" s="504"/>
      <c r="AG71" s="505"/>
      <c r="AH71" s="506"/>
      <c r="AI71" s="18" t="s">
        <v>12</v>
      </c>
      <c r="AJ71" s="554"/>
      <c r="AK71" s="555"/>
      <c r="AL71" s="556"/>
      <c r="AM71" s="19" t="s">
        <v>12</v>
      </c>
      <c r="AN71" s="560"/>
      <c r="AO71" s="561"/>
      <c r="AP71" s="562"/>
      <c r="AQ71" s="3"/>
      <c r="AR71" s="3"/>
      <c r="AS71" s="3"/>
      <c r="AT71" s="3"/>
      <c r="AU71" s="3"/>
      <c r="AV71" s="3"/>
      <c r="AW71" s="3"/>
      <c r="AX71" s="3"/>
      <c r="AY71" s="3"/>
      <c r="AZ71" s="3"/>
    </row>
    <row r="72" spans="1:52" ht="34.950000000000003" customHeight="1" thickBot="1">
      <c r="A72" s="509"/>
      <c r="B72" s="509"/>
      <c r="C72" s="509">
        <v>22</v>
      </c>
      <c r="D72" s="530" t="s">
        <v>52</v>
      </c>
      <c r="E72" s="533" t="s">
        <v>53</v>
      </c>
      <c r="F72" s="522"/>
      <c r="G72" s="522"/>
      <c r="H72" s="509"/>
      <c r="I72" s="522"/>
      <c r="J72" s="509"/>
      <c r="K72" s="57" t="s">
        <v>13</v>
      </c>
      <c r="L72" s="57"/>
      <c r="M72" s="57"/>
      <c r="N72" s="57">
        <f>SUM(N69:N71)</f>
        <v>3591028163</v>
      </c>
      <c r="O72" s="244" t="s">
        <v>13</v>
      </c>
      <c r="P72" s="510"/>
      <c r="Q72" s="511"/>
      <c r="R72" s="512"/>
      <c r="S72" s="245" t="s">
        <v>13</v>
      </c>
      <c r="T72" s="586"/>
      <c r="U72" s="587"/>
      <c r="V72" s="588"/>
      <c r="W72" s="246" t="s">
        <v>13</v>
      </c>
      <c r="X72" s="579"/>
      <c r="Y72" s="580"/>
      <c r="Z72" s="581"/>
      <c r="AA72" s="57" t="s">
        <v>18</v>
      </c>
      <c r="AB72" s="591"/>
      <c r="AC72" s="592"/>
      <c r="AD72" s="593"/>
      <c r="AE72" s="244" t="s">
        <v>18</v>
      </c>
      <c r="AF72" s="510"/>
      <c r="AG72" s="511"/>
      <c r="AH72" s="512"/>
      <c r="AI72" s="245" t="s">
        <v>18</v>
      </c>
      <c r="AJ72" s="586"/>
      <c r="AK72" s="587"/>
      <c r="AL72" s="588"/>
      <c r="AM72" s="246" t="s">
        <v>18</v>
      </c>
      <c r="AN72" s="579"/>
      <c r="AO72" s="580"/>
      <c r="AP72" s="581"/>
      <c r="AQ72" s="3"/>
      <c r="AR72" s="3"/>
      <c r="AS72" s="3"/>
      <c r="AT72" s="3"/>
      <c r="AU72" s="3"/>
      <c r="AV72" s="3"/>
      <c r="AW72" s="3"/>
      <c r="AX72" s="3"/>
      <c r="AY72" s="3"/>
      <c r="AZ72" s="3"/>
    </row>
    <row r="73" spans="1:52" ht="34.950000000000003" customHeight="1">
      <c r="A73" s="492" t="s">
        <v>113</v>
      </c>
      <c r="B73" s="517" t="s">
        <v>523</v>
      </c>
      <c r="C73" s="492" t="s">
        <v>54</v>
      </c>
      <c r="D73" s="518" t="s">
        <v>55</v>
      </c>
      <c r="E73" s="527" t="s">
        <v>56</v>
      </c>
      <c r="F73" s="515" t="s">
        <v>166</v>
      </c>
      <c r="G73" s="515" t="s">
        <v>81</v>
      </c>
      <c r="H73" s="492" t="s">
        <v>87</v>
      </c>
      <c r="I73" s="515" t="s">
        <v>102</v>
      </c>
      <c r="J73" s="492">
        <v>2020</v>
      </c>
      <c r="K73" s="15"/>
      <c r="L73" s="15" t="s">
        <v>9</v>
      </c>
      <c r="M73" s="15" t="s">
        <v>10</v>
      </c>
      <c r="N73" s="15" t="s">
        <v>13</v>
      </c>
      <c r="O73" s="8"/>
      <c r="P73" s="8" t="s">
        <v>9</v>
      </c>
      <c r="Q73" s="8" t="s">
        <v>10</v>
      </c>
      <c r="R73" s="8" t="s">
        <v>13</v>
      </c>
      <c r="S73" s="16"/>
      <c r="T73" s="16" t="s">
        <v>9</v>
      </c>
      <c r="U73" s="16" t="s">
        <v>10</v>
      </c>
      <c r="V73" s="16" t="s">
        <v>13</v>
      </c>
      <c r="W73" s="17"/>
      <c r="X73" s="17" t="s">
        <v>9</v>
      </c>
      <c r="Y73" s="17" t="s">
        <v>10</v>
      </c>
      <c r="Z73" s="17" t="s">
        <v>13</v>
      </c>
      <c r="AA73" s="15"/>
      <c r="AB73" s="15" t="s">
        <v>9</v>
      </c>
      <c r="AC73" s="15" t="s">
        <v>10</v>
      </c>
      <c r="AD73" s="15" t="s">
        <v>18</v>
      </c>
      <c r="AE73" s="8"/>
      <c r="AF73" s="8" t="s">
        <v>9</v>
      </c>
      <c r="AG73" s="8" t="s">
        <v>10</v>
      </c>
      <c r="AH73" s="8" t="s">
        <v>18</v>
      </c>
      <c r="AI73" s="16"/>
      <c r="AJ73" s="16" t="s">
        <v>9</v>
      </c>
      <c r="AK73" s="16" t="s">
        <v>10</v>
      </c>
      <c r="AL73" s="16" t="s">
        <v>18</v>
      </c>
      <c r="AM73" s="17"/>
      <c r="AN73" s="17" t="s">
        <v>9</v>
      </c>
      <c r="AO73" s="17" t="s">
        <v>10</v>
      </c>
      <c r="AP73" s="17" t="s">
        <v>18</v>
      </c>
      <c r="AQ73" s="3"/>
      <c r="AR73" s="3"/>
      <c r="AS73" s="3"/>
      <c r="AT73" s="3"/>
      <c r="AU73" s="3"/>
      <c r="AV73" s="3"/>
      <c r="AW73" s="3"/>
      <c r="AX73" s="3"/>
      <c r="AY73" s="3"/>
      <c r="AZ73" s="3"/>
    </row>
    <row r="74" spans="1:52" ht="34.950000000000003" customHeight="1">
      <c r="A74" s="493"/>
      <c r="B74" s="493"/>
      <c r="C74" s="493" t="s">
        <v>54</v>
      </c>
      <c r="D74" s="519" t="s">
        <v>55</v>
      </c>
      <c r="E74" s="526" t="s">
        <v>56</v>
      </c>
      <c r="F74" s="514"/>
      <c r="G74" s="514"/>
      <c r="H74" s="493"/>
      <c r="I74" s="514"/>
      <c r="J74" s="493"/>
      <c r="K74" s="10" t="s">
        <v>11</v>
      </c>
      <c r="L74" s="495" t="s">
        <v>114</v>
      </c>
      <c r="M74" s="496"/>
      <c r="N74" s="29">
        <f>ID_23!B17</f>
        <v>8867043</v>
      </c>
      <c r="O74" s="11" t="s">
        <v>11</v>
      </c>
      <c r="P74" s="501" t="s">
        <v>114</v>
      </c>
      <c r="Q74" s="502"/>
      <c r="R74" s="503"/>
      <c r="S74" s="18" t="s">
        <v>11</v>
      </c>
      <c r="T74" s="551" t="s">
        <v>114</v>
      </c>
      <c r="U74" s="552"/>
      <c r="V74" s="553"/>
      <c r="W74" s="19" t="s">
        <v>11</v>
      </c>
      <c r="X74" s="557" t="s">
        <v>114</v>
      </c>
      <c r="Y74" s="558"/>
      <c r="Z74" s="559"/>
      <c r="AA74" s="10" t="s">
        <v>11</v>
      </c>
      <c r="AB74" s="495" t="s">
        <v>114</v>
      </c>
      <c r="AC74" s="589"/>
      <c r="AD74" s="496"/>
      <c r="AE74" s="11" t="s">
        <v>11</v>
      </c>
      <c r="AF74" s="501" t="s">
        <v>114</v>
      </c>
      <c r="AG74" s="502"/>
      <c r="AH74" s="503"/>
      <c r="AI74" s="18" t="s">
        <v>11</v>
      </c>
      <c r="AJ74" s="551" t="s">
        <v>114</v>
      </c>
      <c r="AK74" s="552"/>
      <c r="AL74" s="553"/>
      <c r="AM74" s="19" t="s">
        <v>11</v>
      </c>
      <c r="AN74" s="557" t="s">
        <v>114</v>
      </c>
      <c r="AO74" s="558"/>
      <c r="AP74" s="559"/>
      <c r="AQ74" s="3"/>
      <c r="AR74" s="3"/>
      <c r="AS74" s="3"/>
      <c r="AT74" s="3"/>
      <c r="AU74" s="3"/>
      <c r="AV74" s="3"/>
      <c r="AW74" s="3"/>
      <c r="AX74" s="3"/>
      <c r="AY74" s="3"/>
      <c r="AZ74" s="3"/>
    </row>
    <row r="75" spans="1:52" ht="34.950000000000003" customHeight="1">
      <c r="A75" s="493"/>
      <c r="B75" s="493"/>
      <c r="C75" s="493" t="s">
        <v>54</v>
      </c>
      <c r="D75" s="519" t="s">
        <v>55</v>
      </c>
      <c r="E75" s="526" t="s">
        <v>56</v>
      </c>
      <c r="F75" s="514"/>
      <c r="G75" s="514"/>
      <c r="H75" s="493"/>
      <c r="I75" s="514"/>
      <c r="J75" s="493"/>
      <c r="K75" s="9" t="s">
        <v>14</v>
      </c>
      <c r="L75" s="497"/>
      <c r="M75" s="498"/>
      <c r="N75" s="181">
        <f>ID_23!B18</f>
        <v>59481866</v>
      </c>
      <c r="O75" s="6" t="s">
        <v>14</v>
      </c>
      <c r="P75" s="504"/>
      <c r="Q75" s="505"/>
      <c r="R75" s="506"/>
      <c r="S75" s="13" t="s">
        <v>14</v>
      </c>
      <c r="T75" s="554"/>
      <c r="U75" s="555"/>
      <c r="V75" s="556"/>
      <c r="W75" s="14" t="s">
        <v>14</v>
      </c>
      <c r="X75" s="560"/>
      <c r="Y75" s="561"/>
      <c r="Z75" s="562"/>
      <c r="AA75" s="9" t="s">
        <v>14</v>
      </c>
      <c r="AB75" s="497"/>
      <c r="AC75" s="590"/>
      <c r="AD75" s="498"/>
      <c r="AE75" s="6" t="s">
        <v>14</v>
      </c>
      <c r="AF75" s="504"/>
      <c r="AG75" s="505"/>
      <c r="AH75" s="506"/>
      <c r="AI75" s="13" t="s">
        <v>14</v>
      </c>
      <c r="AJ75" s="554"/>
      <c r="AK75" s="555"/>
      <c r="AL75" s="556"/>
      <c r="AM75" s="14" t="s">
        <v>14</v>
      </c>
      <c r="AN75" s="560"/>
      <c r="AO75" s="561"/>
      <c r="AP75" s="562"/>
      <c r="AQ75" s="3"/>
      <c r="AR75" s="3"/>
      <c r="AS75" s="3"/>
      <c r="AT75" s="3"/>
      <c r="AU75" s="3"/>
      <c r="AV75" s="3"/>
      <c r="AW75" s="3"/>
      <c r="AX75" s="3"/>
      <c r="AY75" s="3"/>
      <c r="AZ75" s="3"/>
    </row>
    <row r="76" spans="1:52" ht="34.950000000000003" customHeight="1">
      <c r="A76" s="493"/>
      <c r="B76" s="493"/>
      <c r="C76" s="493" t="s">
        <v>54</v>
      </c>
      <c r="D76" s="519" t="s">
        <v>55</v>
      </c>
      <c r="E76" s="526" t="s">
        <v>56</v>
      </c>
      <c r="F76" s="514"/>
      <c r="G76" s="514"/>
      <c r="H76" s="493"/>
      <c r="I76" s="514"/>
      <c r="J76" s="493"/>
      <c r="K76" s="10" t="s">
        <v>12</v>
      </c>
      <c r="L76" s="499"/>
      <c r="M76" s="500"/>
      <c r="N76" s="29">
        <f>ID_23!B19</f>
        <v>428114389</v>
      </c>
      <c r="O76" s="11" t="s">
        <v>12</v>
      </c>
      <c r="P76" s="504"/>
      <c r="Q76" s="505"/>
      <c r="R76" s="506"/>
      <c r="S76" s="18" t="s">
        <v>12</v>
      </c>
      <c r="T76" s="554"/>
      <c r="U76" s="555"/>
      <c r="V76" s="556"/>
      <c r="W76" s="19" t="s">
        <v>12</v>
      </c>
      <c r="X76" s="560"/>
      <c r="Y76" s="561"/>
      <c r="Z76" s="562"/>
      <c r="AA76" s="10" t="s">
        <v>12</v>
      </c>
      <c r="AB76" s="497"/>
      <c r="AC76" s="590"/>
      <c r="AD76" s="498"/>
      <c r="AE76" s="11" t="s">
        <v>12</v>
      </c>
      <c r="AF76" s="504"/>
      <c r="AG76" s="505"/>
      <c r="AH76" s="506"/>
      <c r="AI76" s="18" t="s">
        <v>12</v>
      </c>
      <c r="AJ76" s="554"/>
      <c r="AK76" s="555"/>
      <c r="AL76" s="556"/>
      <c r="AM76" s="19" t="s">
        <v>12</v>
      </c>
      <c r="AN76" s="560"/>
      <c r="AO76" s="561"/>
      <c r="AP76" s="562"/>
      <c r="AQ76" s="3"/>
      <c r="AR76" s="3"/>
      <c r="AS76" s="3"/>
      <c r="AT76" s="3"/>
      <c r="AU76" s="3"/>
      <c r="AV76" s="3"/>
      <c r="AW76" s="3"/>
      <c r="AX76" s="3"/>
      <c r="AY76" s="3"/>
      <c r="AZ76" s="3"/>
    </row>
    <row r="77" spans="1:52" ht="34.950000000000003" customHeight="1" thickBot="1">
      <c r="A77" s="494"/>
      <c r="B77" s="493"/>
      <c r="C77" s="494" t="s">
        <v>54</v>
      </c>
      <c r="D77" s="538" t="s">
        <v>55</v>
      </c>
      <c r="E77" s="539" t="s">
        <v>56</v>
      </c>
      <c r="F77" s="516"/>
      <c r="G77" s="516"/>
      <c r="H77" s="494"/>
      <c r="I77" s="516"/>
      <c r="J77" s="494"/>
      <c r="K77" s="57" t="s">
        <v>13</v>
      </c>
      <c r="L77" s="57"/>
      <c r="M77" s="57"/>
      <c r="N77" s="57">
        <f>SUM(N74:N76)</f>
        <v>496463298</v>
      </c>
      <c r="O77" s="244" t="s">
        <v>13</v>
      </c>
      <c r="P77" s="510"/>
      <c r="Q77" s="511"/>
      <c r="R77" s="512"/>
      <c r="S77" s="245" t="s">
        <v>13</v>
      </c>
      <c r="T77" s="586"/>
      <c r="U77" s="587"/>
      <c r="V77" s="588"/>
      <c r="W77" s="246" t="s">
        <v>13</v>
      </c>
      <c r="X77" s="579"/>
      <c r="Y77" s="580"/>
      <c r="Z77" s="581"/>
      <c r="AA77" s="57" t="s">
        <v>18</v>
      </c>
      <c r="AB77" s="591"/>
      <c r="AC77" s="592"/>
      <c r="AD77" s="593"/>
      <c r="AE77" s="244" t="s">
        <v>18</v>
      </c>
      <c r="AF77" s="510"/>
      <c r="AG77" s="511"/>
      <c r="AH77" s="512"/>
      <c r="AI77" s="245" t="s">
        <v>18</v>
      </c>
      <c r="AJ77" s="586"/>
      <c r="AK77" s="587"/>
      <c r="AL77" s="588"/>
      <c r="AM77" s="246" t="s">
        <v>17</v>
      </c>
      <c r="AN77" s="579"/>
      <c r="AO77" s="580"/>
      <c r="AP77" s="581"/>
      <c r="AQ77" s="3"/>
      <c r="AR77" s="3"/>
      <c r="AS77" s="3"/>
      <c r="AT77" s="3"/>
      <c r="AU77" s="3"/>
      <c r="AV77" s="3"/>
      <c r="AW77" s="3"/>
      <c r="AX77" s="3"/>
      <c r="AY77" s="3"/>
      <c r="AZ77" s="3"/>
    </row>
    <row r="78" spans="1:52" ht="34.950000000000003" customHeight="1">
      <c r="A78" s="523" t="s">
        <v>113</v>
      </c>
      <c r="B78" s="535" t="s">
        <v>523</v>
      </c>
      <c r="C78" s="523" t="s">
        <v>57</v>
      </c>
      <c r="D78" s="549" t="s">
        <v>58</v>
      </c>
      <c r="E78" s="550" t="s">
        <v>59</v>
      </c>
      <c r="F78" s="534" t="s">
        <v>166</v>
      </c>
      <c r="G78" s="534" t="s">
        <v>81</v>
      </c>
      <c r="H78" s="523" t="s">
        <v>87</v>
      </c>
      <c r="I78" s="534" t="s">
        <v>103</v>
      </c>
      <c r="J78" s="523" t="s">
        <v>112</v>
      </c>
      <c r="K78" s="15"/>
      <c r="L78" s="15" t="s">
        <v>9</v>
      </c>
      <c r="M78" s="15" t="s">
        <v>10</v>
      </c>
      <c r="N78" s="15" t="s">
        <v>13</v>
      </c>
      <c r="O78" s="8"/>
      <c r="P78" s="8" t="s">
        <v>9</v>
      </c>
      <c r="Q78" s="8" t="s">
        <v>10</v>
      </c>
      <c r="R78" s="8" t="s">
        <v>13</v>
      </c>
      <c r="S78" s="16"/>
      <c r="T78" s="16" t="s">
        <v>9</v>
      </c>
      <c r="U78" s="16" t="s">
        <v>10</v>
      </c>
      <c r="V78" s="16" t="s">
        <v>13</v>
      </c>
      <c r="W78" s="17"/>
      <c r="X78" s="17" t="s">
        <v>9</v>
      </c>
      <c r="Y78" s="17" t="s">
        <v>10</v>
      </c>
      <c r="Z78" s="17" t="s">
        <v>13</v>
      </c>
      <c r="AA78" s="15"/>
      <c r="AB78" s="15" t="s">
        <v>9</v>
      </c>
      <c r="AC78" s="15" t="s">
        <v>10</v>
      </c>
      <c r="AD78" s="15" t="s">
        <v>18</v>
      </c>
      <c r="AE78" s="8"/>
      <c r="AF78" s="8" t="s">
        <v>9</v>
      </c>
      <c r="AG78" s="8" t="s">
        <v>10</v>
      </c>
      <c r="AH78" s="8" t="s">
        <v>18</v>
      </c>
      <c r="AI78" s="16"/>
      <c r="AJ78" s="16" t="s">
        <v>9</v>
      </c>
      <c r="AK78" s="16" t="s">
        <v>10</v>
      </c>
      <c r="AL78" s="16" t="s">
        <v>18</v>
      </c>
      <c r="AM78" s="17"/>
      <c r="AN78" s="17" t="s">
        <v>9</v>
      </c>
      <c r="AO78" s="17" t="s">
        <v>10</v>
      </c>
      <c r="AP78" s="17" t="s">
        <v>18</v>
      </c>
      <c r="AQ78" s="3"/>
      <c r="AR78" s="3"/>
      <c r="AS78" s="3"/>
      <c r="AT78" s="3"/>
      <c r="AU78" s="3"/>
      <c r="AV78" s="3"/>
      <c r="AW78" s="3"/>
      <c r="AX78" s="3"/>
      <c r="AY78" s="3"/>
      <c r="AZ78" s="3"/>
    </row>
    <row r="79" spans="1:52" ht="34.950000000000003" customHeight="1">
      <c r="A79" s="508"/>
      <c r="B79" s="536"/>
      <c r="C79" s="508" t="s">
        <v>57</v>
      </c>
      <c r="D79" s="529" t="s">
        <v>58</v>
      </c>
      <c r="E79" s="532" t="s">
        <v>59</v>
      </c>
      <c r="F79" s="521"/>
      <c r="G79" s="521"/>
      <c r="H79" s="508"/>
      <c r="I79" s="521"/>
      <c r="J79" s="508"/>
      <c r="K79" s="10" t="s">
        <v>11</v>
      </c>
      <c r="L79" s="495" t="s">
        <v>114</v>
      </c>
      <c r="M79" s="496"/>
      <c r="N79" s="10">
        <f>ID_25!B21</f>
        <v>2274527615.1599998</v>
      </c>
      <c r="O79" s="11" t="s">
        <v>11</v>
      </c>
      <c r="P79" s="501" t="s">
        <v>114</v>
      </c>
      <c r="Q79" s="502"/>
      <c r="R79" s="503"/>
      <c r="S79" s="18" t="s">
        <v>11</v>
      </c>
      <c r="T79" s="551" t="s">
        <v>114</v>
      </c>
      <c r="U79" s="552"/>
      <c r="V79" s="553"/>
      <c r="W79" s="19" t="s">
        <v>11</v>
      </c>
      <c r="X79" s="557" t="s">
        <v>114</v>
      </c>
      <c r="Y79" s="558"/>
      <c r="Z79" s="559"/>
      <c r="AA79" s="10" t="s">
        <v>11</v>
      </c>
      <c r="AB79" s="495" t="s">
        <v>114</v>
      </c>
      <c r="AC79" s="589"/>
      <c r="AD79" s="496"/>
      <c r="AE79" s="11" t="s">
        <v>11</v>
      </c>
      <c r="AF79" s="501" t="s">
        <v>114</v>
      </c>
      <c r="AG79" s="502"/>
      <c r="AH79" s="503"/>
      <c r="AI79" s="18" t="s">
        <v>11</v>
      </c>
      <c r="AJ79" s="551" t="s">
        <v>114</v>
      </c>
      <c r="AK79" s="552"/>
      <c r="AL79" s="553"/>
      <c r="AM79" s="19" t="s">
        <v>11</v>
      </c>
      <c r="AN79" s="557" t="s">
        <v>114</v>
      </c>
      <c r="AO79" s="558"/>
      <c r="AP79" s="559"/>
      <c r="AQ79" s="3"/>
      <c r="AR79" s="3"/>
      <c r="AS79" s="3"/>
      <c r="AT79" s="3"/>
      <c r="AU79" s="3"/>
      <c r="AV79" s="3"/>
      <c r="AW79" s="3"/>
      <c r="AX79" s="3"/>
      <c r="AY79" s="3"/>
      <c r="AZ79" s="3"/>
    </row>
    <row r="80" spans="1:52" ht="34.950000000000003" customHeight="1">
      <c r="A80" s="508"/>
      <c r="B80" s="536"/>
      <c r="C80" s="508" t="s">
        <v>57</v>
      </c>
      <c r="D80" s="529" t="s">
        <v>58</v>
      </c>
      <c r="E80" s="532" t="s">
        <v>59</v>
      </c>
      <c r="F80" s="521"/>
      <c r="G80" s="521"/>
      <c r="H80" s="508"/>
      <c r="I80" s="521"/>
      <c r="J80" s="508"/>
      <c r="K80" s="9" t="s">
        <v>14</v>
      </c>
      <c r="L80" s="497"/>
      <c r="M80" s="498"/>
      <c r="N80" s="9">
        <f>ID_25!B22</f>
        <v>4562267746.8400002</v>
      </c>
      <c r="O80" s="6" t="s">
        <v>14</v>
      </c>
      <c r="P80" s="504"/>
      <c r="Q80" s="505"/>
      <c r="R80" s="506"/>
      <c r="S80" s="13" t="s">
        <v>14</v>
      </c>
      <c r="T80" s="554"/>
      <c r="U80" s="555"/>
      <c r="V80" s="556"/>
      <c r="W80" s="14" t="s">
        <v>14</v>
      </c>
      <c r="X80" s="560"/>
      <c r="Y80" s="561"/>
      <c r="Z80" s="562"/>
      <c r="AA80" s="9" t="s">
        <v>14</v>
      </c>
      <c r="AB80" s="497"/>
      <c r="AC80" s="590"/>
      <c r="AD80" s="498"/>
      <c r="AE80" s="6" t="s">
        <v>14</v>
      </c>
      <c r="AF80" s="504"/>
      <c r="AG80" s="505"/>
      <c r="AH80" s="506"/>
      <c r="AI80" s="13" t="s">
        <v>14</v>
      </c>
      <c r="AJ80" s="554"/>
      <c r="AK80" s="555"/>
      <c r="AL80" s="556"/>
      <c r="AM80" s="14" t="s">
        <v>14</v>
      </c>
      <c r="AN80" s="560"/>
      <c r="AO80" s="561"/>
      <c r="AP80" s="562"/>
      <c r="AQ80" s="3"/>
      <c r="AR80" s="3"/>
      <c r="AS80" s="3"/>
      <c r="AT80" s="3"/>
      <c r="AU80" s="3"/>
      <c r="AV80" s="3"/>
      <c r="AW80" s="3"/>
      <c r="AX80" s="3"/>
      <c r="AY80" s="3"/>
      <c r="AZ80" s="3"/>
    </row>
    <row r="81" spans="1:52" ht="34.950000000000003" customHeight="1">
      <c r="A81" s="508"/>
      <c r="B81" s="536"/>
      <c r="C81" s="508" t="s">
        <v>57</v>
      </c>
      <c r="D81" s="529" t="s">
        <v>58</v>
      </c>
      <c r="E81" s="532" t="s">
        <v>59</v>
      </c>
      <c r="F81" s="521"/>
      <c r="G81" s="521"/>
      <c r="H81" s="508"/>
      <c r="I81" s="521"/>
      <c r="J81" s="508"/>
      <c r="K81" s="10" t="s">
        <v>12</v>
      </c>
      <c r="L81" s="499"/>
      <c r="M81" s="500"/>
      <c r="N81" s="10">
        <f>ID_25!B23</f>
        <v>1326807094</v>
      </c>
      <c r="O81" s="11" t="s">
        <v>12</v>
      </c>
      <c r="P81" s="504"/>
      <c r="Q81" s="505"/>
      <c r="R81" s="506"/>
      <c r="S81" s="18" t="s">
        <v>12</v>
      </c>
      <c r="T81" s="554"/>
      <c r="U81" s="555"/>
      <c r="V81" s="556"/>
      <c r="W81" s="19" t="s">
        <v>12</v>
      </c>
      <c r="X81" s="560"/>
      <c r="Y81" s="561"/>
      <c r="Z81" s="562"/>
      <c r="AA81" s="10" t="s">
        <v>12</v>
      </c>
      <c r="AB81" s="497"/>
      <c r="AC81" s="590"/>
      <c r="AD81" s="498"/>
      <c r="AE81" s="11" t="s">
        <v>12</v>
      </c>
      <c r="AF81" s="504"/>
      <c r="AG81" s="505"/>
      <c r="AH81" s="506"/>
      <c r="AI81" s="18" t="s">
        <v>12</v>
      </c>
      <c r="AJ81" s="554"/>
      <c r="AK81" s="555"/>
      <c r="AL81" s="556"/>
      <c r="AM81" s="19" t="s">
        <v>12</v>
      </c>
      <c r="AN81" s="560"/>
      <c r="AO81" s="561"/>
      <c r="AP81" s="562"/>
      <c r="AQ81" s="3"/>
      <c r="AR81" s="3"/>
      <c r="AS81" s="3"/>
      <c r="AT81" s="3"/>
      <c r="AU81" s="3"/>
      <c r="AV81" s="3"/>
      <c r="AW81" s="3"/>
      <c r="AX81" s="3"/>
      <c r="AY81" s="3"/>
      <c r="AZ81" s="3"/>
    </row>
    <row r="82" spans="1:52" ht="34.950000000000003" customHeight="1" thickBot="1">
      <c r="A82" s="508"/>
      <c r="B82" s="537"/>
      <c r="C82" s="508" t="s">
        <v>57</v>
      </c>
      <c r="D82" s="529" t="s">
        <v>58</v>
      </c>
      <c r="E82" s="532" t="s">
        <v>59</v>
      </c>
      <c r="F82" s="521"/>
      <c r="G82" s="521"/>
      <c r="H82" s="508"/>
      <c r="I82" s="521"/>
      <c r="J82" s="508"/>
      <c r="K82" s="9" t="s">
        <v>13</v>
      </c>
      <c r="L82" s="9"/>
      <c r="M82" s="9"/>
      <c r="N82" s="9">
        <f>SUM(N79:N81)</f>
        <v>8163602456</v>
      </c>
      <c r="O82" s="6" t="s">
        <v>13</v>
      </c>
      <c r="P82" s="504"/>
      <c r="Q82" s="505"/>
      <c r="R82" s="506"/>
      <c r="S82" s="13" t="s">
        <v>13</v>
      </c>
      <c r="T82" s="554"/>
      <c r="U82" s="555"/>
      <c r="V82" s="556"/>
      <c r="W82" s="14" t="s">
        <v>13</v>
      </c>
      <c r="X82" s="560"/>
      <c r="Y82" s="561"/>
      <c r="Z82" s="562"/>
      <c r="AA82" s="9" t="s">
        <v>18</v>
      </c>
      <c r="AB82" s="497"/>
      <c r="AC82" s="590"/>
      <c r="AD82" s="498"/>
      <c r="AE82" s="6" t="s">
        <v>18</v>
      </c>
      <c r="AF82" s="504"/>
      <c r="AG82" s="505"/>
      <c r="AH82" s="506"/>
      <c r="AI82" s="13" t="s">
        <v>18</v>
      </c>
      <c r="AJ82" s="554"/>
      <c r="AK82" s="555"/>
      <c r="AL82" s="556"/>
      <c r="AM82" s="14" t="s">
        <v>17</v>
      </c>
      <c r="AN82" s="560"/>
      <c r="AO82" s="561"/>
      <c r="AP82" s="562"/>
      <c r="AQ82" s="3"/>
      <c r="AR82" s="3"/>
      <c r="AS82" s="3"/>
      <c r="AT82" s="3"/>
      <c r="AU82" s="3"/>
      <c r="AV82" s="3"/>
      <c r="AW82" s="3"/>
      <c r="AX82" s="3"/>
      <c r="AY82" s="3"/>
      <c r="AZ82" s="3"/>
    </row>
    <row r="83" spans="1:52" ht="34.950000000000003" customHeight="1">
      <c r="A83" s="517" t="s">
        <v>113</v>
      </c>
      <c r="B83" s="517" t="s">
        <v>523</v>
      </c>
      <c r="C83" s="517">
        <v>26</v>
      </c>
      <c r="D83" s="524" t="s">
        <v>60</v>
      </c>
      <c r="E83" s="525" t="s">
        <v>61</v>
      </c>
      <c r="F83" s="513" t="s">
        <v>167</v>
      </c>
      <c r="G83" s="513" t="s">
        <v>81</v>
      </c>
      <c r="H83" s="517" t="s">
        <v>87</v>
      </c>
      <c r="I83" s="513" t="s">
        <v>104</v>
      </c>
      <c r="J83" s="517">
        <v>2022</v>
      </c>
      <c r="K83" s="12"/>
      <c r="L83" s="12" t="s">
        <v>9</v>
      </c>
      <c r="M83" s="12" t="s">
        <v>10</v>
      </c>
      <c r="N83" s="12" t="s">
        <v>13</v>
      </c>
      <c r="O83" s="7"/>
      <c r="P83" s="7" t="s">
        <v>9</v>
      </c>
      <c r="Q83" s="7" t="s">
        <v>10</v>
      </c>
      <c r="R83" s="7" t="s">
        <v>13</v>
      </c>
      <c r="S83" s="20"/>
      <c r="T83" s="20" t="s">
        <v>9</v>
      </c>
      <c r="U83" s="20" t="s">
        <v>10</v>
      </c>
      <c r="V83" s="20" t="s">
        <v>13</v>
      </c>
      <c r="W83" s="21"/>
      <c r="X83" s="21" t="s">
        <v>9</v>
      </c>
      <c r="Y83" s="21" t="s">
        <v>10</v>
      </c>
      <c r="Z83" s="21" t="s">
        <v>13</v>
      </c>
      <c r="AA83" s="12"/>
      <c r="AB83" s="12" t="s">
        <v>9</v>
      </c>
      <c r="AC83" s="12" t="s">
        <v>10</v>
      </c>
      <c r="AD83" s="12" t="s">
        <v>18</v>
      </c>
      <c r="AE83" s="7"/>
      <c r="AF83" s="7" t="s">
        <v>9</v>
      </c>
      <c r="AG83" s="7" t="s">
        <v>10</v>
      </c>
      <c r="AH83" s="7" t="s">
        <v>18</v>
      </c>
      <c r="AI83" s="20"/>
      <c r="AJ83" s="20" t="s">
        <v>9</v>
      </c>
      <c r="AK83" s="20" t="s">
        <v>10</v>
      </c>
      <c r="AL83" s="20" t="s">
        <v>18</v>
      </c>
      <c r="AM83" s="21"/>
      <c r="AN83" s="21" t="s">
        <v>9</v>
      </c>
      <c r="AO83" s="21" t="s">
        <v>10</v>
      </c>
      <c r="AP83" s="21" t="s">
        <v>18</v>
      </c>
      <c r="AQ83" s="3"/>
      <c r="AR83" s="3"/>
      <c r="AS83" s="3"/>
      <c r="AT83" s="3"/>
      <c r="AU83" s="3"/>
      <c r="AV83" s="3"/>
      <c r="AW83" s="3"/>
      <c r="AX83" s="3"/>
      <c r="AY83" s="3"/>
      <c r="AZ83" s="3"/>
    </row>
    <row r="84" spans="1:52" ht="34.950000000000003" customHeight="1">
      <c r="A84" s="493"/>
      <c r="B84" s="493"/>
      <c r="C84" s="493">
        <v>26</v>
      </c>
      <c r="D84" s="519" t="s">
        <v>60</v>
      </c>
      <c r="E84" s="526" t="s">
        <v>61</v>
      </c>
      <c r="F84" s="514"/>
      <c r="G84" s="514"/>
      <c r="H84" s="493"/>
      <c r="I84" s="514"/>
      <c r="J84" s="493"/>
      <c r="K84" s="10" t="s">
        <v>11</v>
      </c>
      <c r="L84" s="495" t="s">
        <v>114</v>
      </c>
      <c r="M84" s="496"/>
      <c r="N84" s="10">
        <f>ID_26!B32</f>
        <v>2017748611.7427289</v>
      </c>
      <c r="O84" s="11" t="s">
        <v>11</v>
      </c>
      <c r="P84" s="501" t="s">
        <v>114</v>
      </c>
      <c r="Q84" s="502"/>
      <c r="R84" s="503"/>
      <c r="S84" s="18" t="s">
        <v>11</v>
      </c>
      <c r="T84" s="551" t="s">
        <v>114</v>
      </c>
      <c r="U84" s="552"/>
      <c r="V84" s="553"/>
      <c r="W84" s="19" t="s">
        <v>11</v>
      </c>
      <c r="X84" s="557" t="s">
        <v>114</v>
      </c>
      <c r="Y84" s="558"/>
      <c r="Z84" s="559"/>
      <c r="AA84" s="10" t="s">
        <v>11</v>
      </c>
      <c r="AB84" s="495"/>
      <c r="AC84" s="496"/>
      <c r="AD84" s="10">
        <f>N84/ID_26!E23</f>
        <v>250434.23256084509</v>
      </c>
      <c r="AE84" s="11" t="s">
        <v>11</v>
      </c>
      <c r="AF84" s="501" t="s">
        <v>114</v>
      </c>
      <c r="AG84" s="502"/>
      <c r="AH84" s="503"/>
      <c r="AI84" s="18" t="s">
        <v>11</v>
      </c>
      <c r="AJ84" s="551" t="s">
        <v>114</v>
      </c>
      <c r="AK84" s="552"/>
      <c r="AL84" s="553"/>
      <c r="AM84" s="19" t="s">
        <v>11</v>
      </c>
      <c r="AN84" s="557" t="s">
        <v>114</v>
      </c>
      <c r="AO84" s="558"/>
      <c r="AP84" s="559"/>
      <c r="AQ84" s="3"/>
      <c r="AR84" s="3"/>
      <c r="AS84" s="3"/>
      <c r="AT84" s="3"/>
      <c r="AU84" s="3"/>
      <c r="AV84" s="3"/>
      <c r="AW84" s="3"/>
      <c r="AX84" s="3"/>
      <c r="AY84" s="3"/>
      <c r="AZ84" s="3"/>
    </row>
    <row r="85" spans="1:52" ht="34.950000000000003" customHeight="1">
      <c r="A85" s="493"/>
      <c r="B85" s="493"/>
      <c r="C85" s="493">
        <v>26</v>
      </c>
      <c r="D85" s="519" t="s">
        <v>60</v>
      </c>
      <c r="E85" s="526" t="s">
        <v>61</v>
      </c>
      <c r="F85" s="514"/>
      <c r="G85" s="514"/>
      <c r="H85" s="493"/>
      <c r="I85" s="514"/>
      <c r="J85" s="493"/>
      <c r="K85" s="9" t="s">
        <v>14</v>
      </c>
      <c r="L85" s="497"/>
      <c r="M85" s="498"/>
      <c r="N85" s="9">
        <f>ID_26!B33</f>
        <v>4195232850.5925808</v>
      </c>
      <c r="O85" s="6" t="s">
        <v>14</v>
      </c>
      <c r="P85" s="504"/>
      <c r="Q85" s="505"/>
      <c r="R85" s="506"/>
      <c r="S85" s="13" t="s">
        <v>14</v>
      </c>
      <c r="T85" s="554"/>
      <c r="U85" s="555"/>
      <c r="V85" s="556"/>
      <c r="W85" s="14" t="s">
        <v>14</v>
      </c>
      <c r="X85" s="560"/>
      <c r="Y85" s="561"/>
      <c r="Z85" s="562"/>
      <c r="AA85" s="9" t="s">
        <v>14</v>
      </c>
      <c r="AB85" s="497"/>
      <c r="AC85" s="498"/>
      <c r="AD85" s="9">
        <f>N85/ID_26!E24</f>
        <v>126522.49383535137</v>
      </c>
      <c r="AE85" s="6" t="s">
        <v>14</v>
      </c>
      <c r="AF85" s="504"/>
      <c r="AG85" s="505"/>
      <c r="AH85" s="506"/>
      <c r="AI85" s="13" t="s">
        <v>14</v>
      </c>
      <c r="AJ85" s="554"/>
      <c r="AK85" s="555"/>
      <c r="AL85" s="556"/>
      <c r="AM85" s="14" t="s">
        <v>14</v>
      </c>
      <c r="AN85" s="560"/>
      <c r="AO85" s="561"/>
      <c r="AP85" s="562"/>
      <c r="AQ85" s="3"/>
      <c r="AR85" s="3"/>
      <c r="AS85" s="3"/>
      <c r="AT85" s="3"/>
      <c r="AU85" s="3"/>
      <c r="AV85" s="3"/>
      <c r="AW85" s="3"/>
      <c r="AX85" s="3"/>
      <c r="AY85" s="3"/>
      <c r="AZ85" s="3"/>
    </row>
    <row r="86" spans="1:52" ht="34.950000000000003" customHeight="1">
      <c r="A86" s="493"/>
      <c r="B86" s="493"/>
      <c r="C86" s="493">
        <v>26</v>
      </c>
      <c r="D86" s="519" t="s">
        <v>60</v>
      </c>
      <c r="E86" s="526" t="s">
        <v>61</v>
      </c>
      <c r="F86" s="514"/>
      <c r="G86" s="514"/>
      <c r="H86" s="493"/>
      <c r="I86" s="514"/>
      <c r="J86" s="493"/>
      <c r="K86" s="10" t="s">
        <v>12</v>
      </c>
      <c r="L86" s="499"/>
      <c r="M86" s="500"/>
      <c r="N86" s="10">
        <f>ID_26!B34</f>
        <v>480628145.10771674</v>
      </c>
      <c r="O86" s="11" t="s">
        <v>12</v>
      </c>
      <c r="P86" s="504"/>
      <c r="Q86" s="505"/>
      <c r="R86" s="506"/>
      <c r="S86" s="18" t="s">
        <v>12</v>
      </c>
      <c r="T86" s="554"/>
      <c r="U86" s="555"/>
      <c r="V86" s="556"/>
      <c r="W86" s="19" t="s">
        <v>12</v>
      </c>
      <c r="X86" s="560"/>
      <c r="Y86" s="561"/>
      <c r="Z86" s="562"/>
      <c r="AA86" s="10" t="s">
        <v>12</v>
      </c>
      <c r="AB86" s="497"/>
      <c r="AC86" s="498"/>
      <c r="AD86" s="10">
        <f>N86/ID_26!E25</f>
        <v>33532.976006957142</v>
      </c>
      <c r="AE86" s="11" t="s">
        <v>12</v>
      </c>
      <c r="AF86" s="504"/>
      <c r="AG86" s="505"/>
      <c r="AH86" s="506"/>
      <c r="AI86" s="18" t="s">
        <v>12</v>
      </c>
      <c r="AJ86" s="554"/>
      <c r="AK86" s="555"/>
      <c r="AL86" s="556"/>
      <c r="AM86" s="19" t="s">
        <v>12</v>
      </c>
      <c r="AN86" s="560"/>
      <c r="AO86" s="561"/>
      <c r="AP86" s="562"/>
      <c r="AQ86" s="3"/>
      <c r="AR86" s="3"/>
      <c r="AS86" s="3"/>
      <c r="AT86" s="3"/>
      <c r="AU86" s="3"/>
      <c r="AV86" s="3"/>
      <c r="AW86" s="3"/>
      <c r="AX86" s="3"/>
      <c r="AY86" s="3"/>
      <c r="AZ86" s="3"/>
    </row>
    <row r="87" spans="1:52" ht="34.950000000000003" customHeight="1" thickBot="1">
      <c r="A87" s="494"/>
      <c r="B87" s="493"/>
      <c r="C87" s="494">
        <v>26</v>
      </c>
      <c r="D87" s="538" t="s">
        <v>60</v>
      </c>
      <c r="E87" s="539" t="s">
        <v>61</v>
      </c>
      <c r="F87" s="516"/>
      <c r="G87" s="516"/>
      <c r="H87" s="494"/>
      <c r="I87" s="516"/>
      <c r="J87" s="494"/>
      <c r="K87" s="57" t="s">
        <v>13</v>
      </c>
      <c r="L87" s="57"/>
      <c r="M87" s="57"/>
      <c r="N87" s="57">
        <f>SUM(N84:N86)</f>
        <v>6693609607.4430265</v>
      </c>
      <c r="O87" s="244" t="s">
        <v>13</v>
      </c>
      <c r="P87" s="510"/>
      <c r="Q87" s="511"/>
      <c r="R87" s="512"/>
      <c r="S87" s="245" t="s">
        <v>13</v>
      </c>
      <c r="T87" s="586"/>
      <c r="U87" s="587"/>
      <c r="V87" s="588"/>
      <c r="W87" s="246" t="s">
        <v>13</v>
      </c>
      <c r="X87" s="579"/>
      <c r="Y87" s="580"/>
      <c r="Z87" s="581"/>
      <c r="AA87" s="57" t="s">
        <v>18</v>
      </c>
      <c r="AB87" s="591"/>
      <c r="AC87" s="593"/>
      <c r="AD87" s="57">
        <f>N87/SUM(ID_26!E23:E25)</f>
        <v>120501.36111908668</v>
      </c>
      <c r="AE87" s="244" t="s">
        <v>18</v>
      </c>
      <c r="AF87" s="510"/>
      <c r="AG87" s="511"/>
      <c r="AH87" s="512"/>
      <c r="AI87" s="245" t="s">
        <v>18</v>
      </c>
      <c r="AJ87" s="586"/>
      <c r="AK87" s="587"/>
      <c r="AL87" s="588"/>
      <c r="AM87" s="246" t="s">
        <v>18</v>
      </c>
      <c r="AN87" s="579"/>
      <c r="AO87" s="580"/>
      <c r="AP87" s="581"/>
      <c r="AQ87" s="3"/>
      <c r="AR87" s="3"/>
      <c r="AS87" s="3"/>
      <c r="AT87" s="3"/>
      <c r="AU87" s="3"/>
      <c r="AV87" s="3"/>
      <c r="AW87" s="3"/>
      <c r="AX87" s="3"/>
      <c r="AY87" s="3"/>
      <c r="AZ87" s="3"/>
    </row>
    <row r="88" spans="1:52" ht="34.950000000000003" customHeight="1">
      <c r="A88" s="523" t="s">
        <v>113</v>
      </c>
      <c r="B88" s="507" t="s">
        <v>523</v>
      </c>
      <c r="C88" s="523" t="s">
        <v>62</v>
      </c>
      <c r="D88" s="549" t="s">
        <v>63</v>
      </c>
      <c r="E88" s="550" t="s">
        <v>64</v>
      </c>
      <c r="F88" s="534" t="s">
        <v>167</v>
      </c>
      <c r="G88" s="534" t="s">
        <v>81</v>
      </c>
      <c r="H88" s="523" t="s">
        <v>87</v>
      </c>
      <c r="I88" s="534" t="s">
        <v>105</v>
      </c>
      <c r="J88" s="523" t="s">
        <v>111</v>
      </c>
      <c r="K88" s="15"/>
      <c r="L88" s="15" t="s">
        <v>9</v>
      </c>
      <c r="M88" s="15" t="s">
        <v>10</v>
      </c>
      <c r="N88" s="15" t="s">
        <v>13</v>
      </c>
      <c r="O88" s="8"/>
      <c r="P88" s="8" t="s">
        <v>9</v>
      </c>
      <c r="Q88" s="8" t="s">
        <v>10</v>
      </c>
      <c r="R88" s="8" t="s">
        <v>13</v>
      </c>
      <c r="S88" s="16"/>
      <c r="T88" s="16" t="s">
        <v>9</v>
      </c>
      <c r="U88" s="16" t="s">
        <v>10</v>
      </c>
      <c r="V88" s="16" t="s">
        <v>13</v>
      </c>
      <c r="W88" s="17"/>
      <c r="X88" s="17" t="s">
        <v>9</v>
      </c>
      <c r="Y88" s="17" t="s">
        <v>10</v>
      </c>
      <c r="Z88" s="17" t="s">
        <v>13</v>
      </c>
      <c r="AA88" s="15"/>
      <c r="AB88" s="15" t="s">
        <v>9</v>
      </c>
      <c r="AC88" s="15" t="s">
        <v>10</v>
      </c>
      <c r="AD88" s="15" t="s">
        <v>18</v>
      </c>
      <c r="AE88" s="8"/>
      <c r="AF88" s="8" t="s">
        <v>9</v>
      </c>
      <c r="AG88" s="8" t="s">
        <v>10</v>
      </c>
      <c r="AH88" s="8" t="s">
        <v>18</v>
      </c>
      <c r="AI88" s="16"/>
      <c r="AJ88" s="16" t="s">
        <v>9</v>
      </c>
      <c r="AK88" s="16" t="s">
        <v>10</v>
      </c>
      <c r="AL88" s="16" t="s">
        <v>18</v>
      </c>
      <c r="AM88" s="17"/>
      <c r="AN88" s="17" t="s">
        <v>9</v>
      </c>
      <c r="AO88" s="17" t="s">
        <v>10</v>
      </c>
      <c r="AP88" s="17" t="s">
        <v>18</v>
      </c>
      <c r="AQ88" s="3"/>
      <c r="AR88" s="3"/>
      <c r="AS88" s="3"/>
      <c r="AT88" s="3"/>
      <c r="AU88" s="3"/>
      <c r="AV88" s="3"/>
      <c r="AW88" s="3"/>
      <c r="AX88" s="3"/>
      <c r="AY88" s="3"/>
      <c r="AZ88" s="3"/>
    </row>
    <row r="89" spans="1:52" ht="34.950000000000003" customHeight="1">
      <c r="A89" s="508"/>
      <c r="B89" s="508"/>
      <c r="C89" s="508" t="s">
        <v>62</v>
      </c>
      <c r="D89" s="529" t="s">
        <v>63</v>
      </c>
      <c r="E89" s="532" t="s">
        <v>64</v>
      </c>
      <c r="F89" s="521"/>
      <c r="G89" s="521"/>
      <c r="H89" s="508"/>
      <c r="I89" s="521"/>
      <c r="J89" s="508"/>
      <c r="K89" s="10" t="s">
        <v>11</v>
      </c>
      <c r="L89" s="495" t="s">
        <v>114</v>
      </c>
      <c r="M89" s="496"/>
      <c r="N89" s="10">
        <f>ID_27!B27</f>
        <v>72021705.773432955</v>
      </c>
      <c r="O89" s="11" t="s">
        <v>11</v>
      </c>
      <c r="P89" s="501" t="s">
        <v>114</v>
      </c>
      <c r="Q89" s="502"/>
      <c r="R89" s="503"/>
      <c r="S89" s="18" t="s">
        <v>11</v>
      </c>
      <c r="T89" s="551" t="s">
        <v>114</v>
      </c>
      <c r="U89" s="552"/>
      <c r="V89" s="553"/>
      <c r="W89" s="19" t="s">
        <v>11</v>
      </c>
      <c r="X89" s="557" t="s">
        <v>114</v>
      </c>
      <c r="Y89" s="558"/>
      <c r="Z89" s="559"/>
      <c r="AA89" s="10" t="s">
        <v>11</v>
      </c>
      <c r="AB89" s="495"/>
      <c r="AC89" s="496"/>
      <c r="AD89" s="10">
        <f>N89/ID_27!E18</f>
        <v>107978.5693754617</v>
      </c>
      <c r="AE89" s="11" t="s">
        <v>11</v>
      </c>
      <c r="AF89" s="501" t="s">
        <v>114</v>
      </c>
      <c r="AG89" s="502"/>
      <c r="AH89" s="503"/>
      <c r="AI89" s="18" t="s">
        <v>11</v>
      </c>
      <c r="AJ89" s="551" t="s">
        <v>114</v>
      </c>
      <c r="AK89" s="552"/>
      <c r="AL89" s="553"/>
      <c r="AM89" s="19" t="s">
        <v>11</v>
      </c>
      <c r="AN89" s="557" t="s">
        <v>114</v>
      </c>
      <c r="AO89" s="558"/>
      <c r="AP89" s="559"/>
      <c r="AQ89" s="3"/>
      <c r="AR89" s="3"/>
      <c r="AS89" s="3"/>
      <c r="AT89" s="3"/>
      <c r="AU89" s="3"/>
      <c r="AV89" s="3"/>
      <c r="AW89" s="3"/>
      <c r="AX89" s="3"/>
      <c r="AY89" s="3"/>
      <c r="AZ89" s="3"/>
    </row>
    <row r="90" spans="1:52" ht="34.950000000000003" customHeight="1">
      <c r="A90" s="508"/>
      <c r="B90" s="508"/>
      <c r="C90" s="508" t="s">
        <v>62</v>
      </c>
      <c r="D90" s="529" t="s">
        <v>63</v>
      </c>
      <c r="E90" s="532" t="s">
        <v>64</v>
      </c>
      <c r="F90" s="521"/>
      <c r="G90" s="521"/>
      <c r="H90" s="508"/>
      <c r="I90" s="521"/>
      <c r="J90" s="508"/>
      <c r="K90" s="9" t="s">
        <v>14</v>
      </c>
      <c r="L90" s="497"/>
      <c r="M90" s="498"/>
      <c r="N90" s="9">
        <f>ID_27!B28</f>
        <v>103859228.64872231</v>
      </c>
      <c r="O90" s="6" t="s">
        <v>14</v>
      </c>
      <c r="P90" s="504"/>
      <c r="Q90" s="505"/>
      <c r="R90" s="506"/>
      <c r="S90" s="13" t="s">
        <v>14</v>
      </c>
      <c r="T90" s="554"/>
      <c r="U90" s="555"/>
      <c r="V90" s="556"/>
      <c r="W90" s="14" t="s">
        <v>14</v>
      </c>
      <c r="X90" s="560"/>
      <c r="Y90" s="561"/>
      <c r="Z90" s="562"/>
      <c r="AA90" s="9" t="s">
        <v>14</v>
      </c>
      <c r="AB90" s="497"/>
      <c r="AC90" s="498"/>
      <c r="AD90" s="9">
        <f>N90/ID_27!E19</f>
        <v>61710.771627285983</v>
      </c>
      <c r="AE90" s="6" t="s">
        <v>14</v>
      </c>
      <c r="AF90" s="504"/>
      <c r="AG90" s="505"/>
      <c r="AH90" s="506"/>
      <c r="AI90" s="13" t="s">
        <v>14</v>
      </c>
      <c r="AJ90" s="554"/>
      <c r="AK90" s="555"/>
      <c r="AL90" s="556"/>
      <c r="AM90" s="14" t="s">
        <v>14</v>
      </c>
      <c r="AN90" s="560"/>
      <c r="AO90" s="561"/>
      <c r="AP90" s="562"/>
      <c r="AQ90" s="3"/>
      <c r="AR90" s="3"/>
      <c r="AS90" s="3"/>
      <c r="AT90" s="3"/>
      <c r="AU90" s="3"/>
      <c r="AV90" s="3"/>
      <c r="AW90" s="3"/>
      <c r="AX90" s="3"/>
      <c r="AY90" s="3"/>
      <c r="AZ90" s="3"/>
    </row>
    <row r="91" spans="1:52" ht="34.950000000000003" customHeight="1">
      <c r="A91" s="508"/>
      <c r="B91" s="508"/>
      <c r="C91" s="508" t="s">
        <v>62</v>
      </c>
      <c r="D91" s="529" t="s">
        <v>63</v>
      </c>
      <c r="E91" s="532" t="s">
        <v>64</v>
      </c>
      <c r="F91" s="521"/>
      <c r="G91" s="521"/>
      <c r="H91" s="508"/>
      <c r="I91" s="521"/>
      <c r="J91" s="508"/>
      <c r="K91" s="10" t="s">
        <v>12</v>
      </c>
      <c r="L91" s="499"/>
      <c r="M91" s="500"/>
      <c r="N91" s="10">
        <f>ID_27!B29</f>
        <v>59103112.435343862</v>
      </c>
      <c r="O91" s="11" t="s">
        <v>12</v>
      </c>
      <c r="P91" s="504"/>
      <c r="Q91" s="505"/>
      <c r="R91" s="506"/>
      <c r="S91" s="18" t="s">
        <v>12</v>
      </c>
      <c r="T91" s="554"/>
      <c r="U91" s="555"/>
      <c r="V91" s="556"/>
      <c r="W91" s="19" t="s">
        <v>12</v>
      </c>
      <c r="X91" s="560"/>
      <c r="Y91" s="561"/>
      <c r="Z91" s="562"/>
      <c r="AA91" s="10" t="s">
        <v>12</v>
      </c>
      <c r="AB91" s="497"/>
      <c r="AC91" s="498"/>
      <c r="AD91" s="10">
        <f>N91/ID_27!E20</f>
        <v>17802.142299802366</v>
      </c>
      <c r="AE91" s="11" t="s">
        <v>12</v>
      </c>
      <c r="AF91" s="504"/>
      <c r="AG91" s="505"/>
      <c r="AH91" s="506"/>
      <c r="AI91" s="18" t="s">
        <v>12</v>
      </c>
      <c r="AJ91" s="554"/>
      <c r="AK91" s="555"/>
      <c r="AL91" s="556"/>
      <c r="AM91" s="19" t="s">
        <v>12</v>
      </c>
      <c r="AN91" s="560"/>
      <c r="AO91" s="561"/>
      <c r="AP91" s="562"/>
      <c r="AQ91" s="3"/>
      <c r="AR91" s="3"/>
      <c r="AS91" s="3"/>
      <c r="AT91" s="3"/>
      <c r="AU91" s="3"/>
      <c r="AV91" s="3"/>
      <c r="AW91" s="3"/>
      <c r="AX91" s="3"/>
      <c r="AY91" s="3"/>
      <c r="AZ91" s="3"/>
    </row>
    <row r="92" spans="1:52" ht="34.950000000000003" customHeight="1" thickBot="1">
      <c r="A92" s="508"/>
      <c r="B92" s="509"/>
      <c r="C92" s="508" t="s">
        <v>62</v>
      </c>
      <c r="D92" s="529" t="s">
        <v>63</v>
      </c>
      <c r="E92" s="532" t="s">
        <v>64</v>
      </c>
      <c r="F92" s="521"/>
      <c r="G92" s="521"/>
      <c r="H92" s="508"/>
      <c r="I92" s="521"/>
      <c r="J92" s="508"/>
      <c r="K92" s="9" t="s">
        <v>13</v>
      </c>
      <c r="L92" s="9"/>
      <c r="M92" s="9"/>
      <c r="N92" s="9">
        <f>SUM(N89:N91)</f>
        <v>234984046.85749912</v>
      </c>
      <c r="O92" s="6" t="s">
        <v>13</v>
      </c>
      <c r="P92" s="504"/>
      <c r="Q92" s="505"/>
      <c r="R92" s="506"/>
      <c r="S92" s="13" t="s">
        <v>13</v>
      </c>
      <c r="T92" s="554"/>
      <c r="U92" s="555"/>
      <c r="V92" s="556"/>
      <c r="W92" s="14" t="s">
        <v>13</v>
      </c>
      <c r="X92" s="560"/>
      <c r="Y92" s="561"/>
      <c r="Z92" s="562"/>
      <c r="AA92" s="9" t="s">
        <v>18</v>
      </c>
      <c r="AB92" s="591"/>
      <c r="AC92" s="593"/>
      <c r="AD92" s="257">
        <f>N92/SUM(ID_27!E18:E20)</f>
        <v>41443.394507495439</v>
      </c>
      <c r="AE92" s="6" t="s">
        <v>18</v>
      </c>
      <c r="AF92" s="504"/>
      <c r="AG92" s="505"/>
      <c r="AH92" s="506"/>
      <c r="AI92" s="13" t="s">
        <v>18</v>
      </c>
      <c r="AJ92" s="554"/>
      <c r="AK92" s="555"/>
      <c r="AL92" s="556"/>
      <c r="AM92" s="14" t="s">
        <v>17</v>
      </c>
      <c r="AN92" s="560"/>
      <c r="AO92" s="561"/>
      <c r="AP92" s="562"/>
      <c r="AQ92" s="3"/>
      <c r="AR92" s="3"/>
      <c r="AS92" s="3"/>
      <c r="AT92" s="3"/>
      <c r="AU92" s="3"/>
      <c r="AV92" s="3"/>
      <c r="AW92" s="3"/>
      <c r="AX92" s="3"/>
      <c r="AY92" s="3"/>
      <c r="AZ92" s="3"/>
    </row>
    <row r="93" spans="1:52" ht="34.950000000000003" customHeight="1">
      <c r="A93" s="517" t="s">
        <v>113</v>
      </c>
      <c r="B93" s="517" t="s">
        <v>523</v>
      </c>
      <c r="C93" s="517">
        <v>30</v>
      </c>
      <c r="D93" s="524" t="s">
        <v>65</v>
      </c>
      <c r="E93" s="525" t="s">
        <v>66</v>
      </c>
      <c r="F93" s="513" t="s">
        <v>168</v>
      </c>
      <c r="G93" s="513" t="s">
        <v>81</v>
      </c>
      <c r="H93" s="517" t="s">
        <v>87</v>
      </c>
      <c r="I93" s="513" t="s">
        <v>106</v>
      </c>
      <c r="J93" s="517">
        <v>2023</v>
      </c>
      <c r="K93" s="12"/>
      <c r="L93" s="12" t="s">
        <v>9</v>
      </c>
      <c r="M93" s="12" t="s">
        <v>10</v>
      </c>
      <c r="N93" s="12" t="s">
        <v>13</v>
      </c>
      <c r="O93" s="7"/>
      <c r="P93" s="7" t="s">
        <v>9</v>
      </c>
      <c r="Q93" s="7" t="s">
        <v>10</v>
      </c>
      <c r="R93" s="7" t="s">
        <v>13</v>
      </c>
      <c r="S93" s="20"/>
      <c r="T93" s="20" t="s">
        <v>9</v>
      </c>
      <c r="U93" s="20" t="s">
        <v>10</v>
      </c>
      <c r="V93" s="20" t="s">
        <v>13</v>
      </c>
      <c r="W93" s="21"/>
      <c r="X93" s="21" t="s">
        <v>9</v>
      </c>
      <c r="Y93" s="21" t="s">
        <v>10</v>
      </c>
      <c r="Z93" s="21" t="s">
        <v>13</v>
      </c>
      <c r="AA93" s="12"/>
      <c r="AB93" s="12" t="s">
        <v>9</v>
      </c>
      <c r="AC93" s="12" t="s">
        <v>10</v>
      </c>
      <c r="AD93" s="12" t="s">
        <v>18</v>
      </c>
      <c r="AE93" s="7"/>
      <c r="AF93" s="7" t="s">
        <v>9</v>
      </c>
      <c r="AG93" s="7" t="s">
        <v>10</v>
      </c>
      <c r="AH93" s="7" t="s">
        <v>18</v>
      </c>
      <c r="AI93" s="20"/>
      <c r="AJ93" s="20" t="s">
        <v>9</v>
      </c>
      <c r="AK93" s="20" t="s">
        <v>10</v>
      </c>
      <c r="AL93" s="20" t="s">
        <v>18</v>
      </c>
      <c r="AM93" s="21"/>
      <c r="AN93" s="21" t="s">
        <v>9</v>
      </c>
      <c r="AO93" s="21" t="s">
        <v>10</v>
      </c>
      <c r="AP93" s="21" t="s">
        <v>18</v>
      </c>
      <c r="AQ93" s="3"/>
      <c r="AR93" s="3"/>
      <c r="AS93" s="3"/>
      <c r="AT93" s="3"/>
      <c r="AU93" s="3"/>
      <c r="AV93" s="3"/>
      <c r="AW93" s="3"/>
      <c r="AX93" s="3"/>
      <c r="AY93" s="3"/>
      <c r="AZ93" s="3"/>
    </row>
    <row r="94" spans="1:52" ht="34.950000000000003" customHeight="1">
      <c r="A94" s="493"/>
      <c r="B94" s="493"/>
      <c r="C94" s="493">
        <v>30</v>
      </c>
      <c r="D94" s="519" t="s">
        <v>65</v>
      </c>
      <c r="E94" s="526" t="s">
        <v>66</v>
      </c>
      <c r="F94" s="514"/>
      <c r="G94" s="514"/>
      <c r="H94" s="493"/>
      <c r="I94" s="514"/>
      <c r="J94" s="493"/>
      <c r="K94" s="10" t="s">
        <v>11</v>
      </c>
      <c r="L94" s="495" t="s">
        <v>114</v>
      </c>
      <c r="M94" s="496"/>
      <c r="N94" s="10">
        <f>ID_30!B37</f>
        <v>25928663.030954193</v>
      </c>
      <c r="O94" s="11" t="s">
        <v>11</v>
      </c>
      <c r="P94" s="501" t="s">
        <v>114</v>
      </c>
      <c r="Q94" s="502"/>
      <c r="R94" s="503"/>
      <c r="S94" s="18" t="s">
        <v>11</v>
      </c>
      <c r="T94" s="551" t="s">
        <v>114</v>
      </c>
      <c r="U94" s="552"/>
      <c r="V94" s="553"/>
      <c r="W94" s="19" t="s">
        <v>11</v>
      </c>
      <c r="X94" s="557" t="s">
        <v>114</v>
      </c>
      <c r="Y94" s="558"/>
      <c r="Z94" s="559"/>
      <c r="AA94" s="10" t="s">
        <v>11</v>
      </c>
      <c r="AB94" s="495" t="s">
        <v>114</v>
      </c>
      <c r="AC94" s="589"/>
      <c r="AD94" s="496"/>
      <c r="AE94" s="11" t="s">
        <v>11</v>
      </c>
      <c r="AF94" s="501" t="s">
        <v>114</v>
      </c>
      <c r="AG94" s="502"/>
      <c r="AH94" s="503"/>
      <c r="AI94" s="18" t="s">
        <v>11</v>
      </c>
      <c r="AJ94" s="551" t="s">
        <v>114</v>
      </c>
      <c r="AK94" s="552"/>
      <c r="AL94" s="553"/>
      <c r="AM94" s="19" t="s">
        <v>11</v>
      </c>
      <c r="AN94" s="557" t="s">
        <v>114</v>
      </c>
      <c r="AO94" s="558"/>
      <c r="AP94" s="559"/>
      <c r="AQ94" s="3"/>
      <c r="AR94" s="3"/>
      <c r="AS94" s="3"/>
      <c r="AT94" s="3"/>
      <c r="AU94" s="3"/>
      <c r="AV94" s="3"/>
      <c r="AW94" s="3"/>
      <c r="AX94" s="3"/>
      <c r="AY94" s="3"/>
      <c r="AZ94" s="3"/>
    </row>
    <row r="95" spans="1:52" ht="34.950000000000003" customHeight="1">
      <c r="A95" s="493"/>
      <c r="B95" s="493"/>
      <c r="C95" s="493">
        <v>30</v>
      </c>
      <c r="D95" s="519" t="s">
        <v>65</v>
      </c>
      <c r="E95" s="526" t="s">
        <v>66</v>
      </c>
      <c r="F95" s="514"/>
      <c r="G95" s="514"/>
      <c r="H95" s="493"/>
      <c r="I95" s="514"/>
      <c r="J95" s="493"/>
      <c r="K95" s="9" t="s">
        <v>14</v>
      </c>
      <c r="L95" s="497"/>
      <c r="M95" s="498"/>
      <c r="N95" s="9">
        <f>ID_30!B38</f>
        <v>9669376.0058759339</v>
      </c>
      <c r="O95" s="6" t="s">
        <v>14</v>
      </c>
      <c r="P95" s="504"/>
      <c r="Q95" s="505"/>
      <c r="R95" s="506"/>
      <c r="S95" s="13" t="s">
        <v>14</v>
      </c>
      <c r="T95" s="554"/>
      <c r="U95" s="555"/>
      <c r="V95" s="556"/>
      <c r="W95" s="14" t="s">
        <v>14</v>
      </c>
      <c r="X95" s="560"/>
      <c r="Y95" s="561"/>
      <c r="Z95" s="562"/>
      <c r="AA95" s="9" t="s">
        <v>14</v>
      </c>
      <c r="AB95" s="497"/>
      <c r="AC95" s="590"/>
      <c r="AD95" s="498"/>
      <c r="AE95" s="6" t="s">
        <v>14</v>
      </c>
      <c r="AF95" s="504"/>
      <c r="AG95" s="505"/>
      <c r="AH95" s="506"/>
      <c r="AI95" s="13" t="s">
        <v>14</v>
      </c>
      <c r="AJ95" s="554"/>
      <c r="AK95" s="555"/>
      <c r="AL95" s="556"/>
      <c r="AM95" s="14" t="s">
        <v>14</v>
      </c>
      <c r="AN95" s="560"/>
      <c r="AO95" s="561"/>
      <c r="AP95" s="562"/>
      <c r="AQ95" s="3"/>
      <c r="AR95" s="3"/>
      <c r="AS95" s="3"/>
      <c r="AT95" s="3"/>
      <c r="AU95" s="3"/>
      <c r="AV95" s="3"/>
      <c r="AW95" s="3"/>
      <c r="AX95" s="3"/>
      <c r="AY95" s="3"/>
      <c r="AZ95" s="3"/>
    </row>
    <row r="96" spans="1:52" ht="34.950000000000003" customHeight="1">
      <c r="A96" s="493"/>
      <c r="B96" s="493"/>
      <c r="C96" s="493">
        <v>30</v>
      </c>
      <c r="D96" s="519" t="s">
        <v>65</v>
      </c>
      <c r="E96" s="526" t="s">
        <v>66</v>
      </c>
      <c r="F96" s="514"/>
      <c r="G96" s="514"/>
      <c r="H96" s="493"/>
      <c r="I96" s="514"/>
      <c r="J96" s="493"/>
      <c r="K96" s="10" t="s">
        <v>12</v>
      </c>
      <c r="L96" s="499"/>
      <c r="M96" s="500"/>
      <c r="N96" s="10">
        <f>ID_30!B39</f>
        <v>1158767.6671246348</v>
      </c>
      <c r="O96" s="11" t="s">
        <v>12</v>
      </c>
      <c r="P96" s="504"/>
      <c r="Q96" s="505"/>
      <c r="R96" s="506"/>
      <c r="S96" s="18" t="s">
        <v>12</v>
      </c>
      <c r="T96" s="554"/>
      <c r="U96" s="555"/>
      <c r="V96" s="556"/>
      <c r="W96" s="19" t="s">
        <v>12</v>
      </c>
      <c r="X96" s="560"/>
      <c r="Y96" s="561"/>
      <c r="Z96" s="562"/>
      <c r="AA96" s="10" t="s">
        <v>12</v>
      </c>
      <c r="AB96" s="497"/>
      <c r="AC96" s="590"/>
      <c r="AD96" s="498"/>
      <c r="AE96" s="11" t="s">
        <v>12</v>
      </c>
      <c r="AF96" s="504"/>
      <c r="AG96" s="505"/>
      <c r="AH96" s="506"/>
      <c r="AI96" s="18" t="s">
        <v>12</v>
      </c>
      <c r="AJ96" s="554"/>
      <c r="AK96" s="555"/>
      <c r="AL96" s="556"/>
      <c r="AM96" s="19" t="s">
        <v>12</v>
      </c>
      <c r="AN96" s="560"/>
      <c r="AO96" s="561"/>
      <c r="AP96" s="562"/>
      <c r="AQ96" s="3"/>
      <c r="AR96" s="3"/>
      <c r="AS96" s="3"/>
      <c r="AT96" s="3"/>
      <c r="AU96" s="3"/>
      <c r="AV96" s="3"/>
      <c r="AW96" s="3"/>
      <c r="AX96" s="3"/>
      <c r="AY96" s="3"/>
      <c r="AZ96" s="3"/>
    </row>
    <row r="97" spans="1:52" ht="34.950000000000003" customHeight="1" thickBot="1">
      <c r="A97" s="494"/>
      <c r="B97" s="493"/>
      <c r="C97" s="494">
        <v>30</v>
      </c>
      <c r="D97" s="538" t="s">
        <v>65</v>
      </c>
      <c r="E97" s="539" t="s">
        <v>66</v>
      </c>
      <c r="F97" s="516"/>
      <c r="G97" s="516"/>
      <c r="H97" s="494"/>
      <c r="I97" s="516"/>
      <c r="J97" s="494"/>
      <c r="K97" s="57" t="s">
        <v>13</v>
      </c>
      <c r="L97" s="57"/>
      <c r="M97" s="57"/>
      <c r="N97" s="57">
        <f>SUM(N94:N96)</f>
        <v>36756806.703954764</v>
      </c>
      <c r="O97" s="244" t="s">
        <v>13</v>
      </c>
      <c r="P97" s="510"/>
      <c r="Q97" s="511"/>
      <c r="R97" s="512"/>
      <c r="S97" s="245" t="s">
        <v>13</v>
      </c>
      <c r="T97" s="586"/>
      <c r="U97" s="587"/>
      <c r="V97" s="588"/>
      <c r="W97" s="246" t="s">
        <v>13</v>
      </c>
      <c r="X97" s="579"/>
      <c r="Y97" s="580"/>
      <c r="Z97" s="581"/>
      <c r="AA97" s="57" t="s">
        <v>18</v>
      </c>
      <c r="AB97" s="591"/>
      <c r="AC97" s="592"/>
      <c r="AD97" s="593"/>
      <c r="AE97" s="244" t="s">
        <v>18</v>
      </c>
      <c r="AF97" s="510"/>
      <c r="AG97" s="511"/>
      <c r="AH97" s="512"/>
      <c r="AI97" s="245" t="s">
        <v>18</v>
      </c>
      <c r="AJ97" s="586"/>
      <c r="AK97" s="587"/>
      <c r="AL97" s="588"/>
      <c r="AM97" s="246" t="s">
        <v>18</v>
      </c>
      <c r="AN97" s="579"/>
      <c r="AO97" s="580"/>
      <c r="AP97" s="581"/>
      <c r="AQ97" s="3"/>
      <c r="AR97" s="3"/>
      <c r="AS97" s="3"/>
      <c r="AT97" s="3"/>
      <c r="AU97" s="3"/>
      <c r="AV97" s="3"/>
      <c r="AW97" s="3"/>
      <c r="AX97" s="3"/>
      <c r="AY97" s="3"/>
      <c r="AZ97" s="3"/>
    </row>
    <row r="98" spans="1:52" ht="34.950000000000003" customHeight="1">
      <c r="A98" s="535"/>
      <c r="B98" s="535" t="s">
        <v>523</v>
      </c>
      <c r="C98" s="535">
        <v>31</v>
      </c>
      <c r="D98" s="540" t="s">
        <v>516</v>
      </c>
      <c r="E98" s="543" t="s">
        <v>517</v>
      </c>
      <c r="F98" s="546" t="s">
        <v>166</v>
      </c>
      <c r="G98" s="546"/>
      <c r="H98" s="535"/>
      <c r="I98" s="546" t="s">
        <v>518</v>
      </c>
      <c r="J98" s="535" t="s">
        <v>112</v>
      </c>
      <c r="K98" s="12"/>
      <c r="L98" s="12" t="s">
        <v>9</v>
      </c>
      <c r="M98" s="12" t="s">
        <v>10</v>
      </c>
      <c r="N98" s="12" t="s">
        <v>13</v>
      </c>
      <c r="O98" s="7"/>
      <c r="P98" s="7" t="s">
        <v>9</v>
      </c>
      <c r="Q98" s="7" t="s">
        <v>10</v>
      </c>
      <c r="R98" s="7" t="s">
        <v>13</v>
      </c>
      <c r="S98" s="20"/>
      <c r="T98" s="20" t="s">
        <v>9</v>
      </c>
      <c r="U98" s="20" t="s">
        <v>10</v>
      </c>
      <c r="V98" s="20" t="s">
        <v>13</v>
      </c>
      <c r="W98" s="21"/>
      <c r="X98" s="21" t="s">
        <v>9</v>
      </c>
      <c r="Y98" s="21" t="s">
        <v>10</v>
      </c>
      <c r="Z98" s="21" t="s">
        <v>13</v>
      </c>
      <c r="AA98" s="12"/>
      <c r="AB98" s="12" t="s">
        <v>9</v>
      </c>
      <c r="AC98" s="12" t="s">
        <v>10</v>
      </c>
      <c r="AD98" s="12" t="s">
        <v>18</v>
      </c>
      <c r="AE98" s="7"/>
      <c r="AF98" s="7" t="s">
        <v>9</v>
      </c>
      <c r="AG98" s="7" t="s">
        <v>10</v>
      </c>
      <c r="AH98" s="7" t="s">
        <v>18</v>
      </c>
      <c r="AI98" s="20"/>
      <c r="AJ98" s="20" t="s">
        <v>9</v>
      </c>
      <c r="AK98" s="20" t="s">
        <v>10</v>
      </c>
      <c r="AL98" s="20" t="s">
        <v>18</v>
      </c>
      <c r="AM98" s="21"/>
      <c r="AN98" s="21" t="s">
        <v>9</v>
      </c>
      <c r="AO98" s="21" t="s">
        <v>10</v>
      </c>
      <c r="AP98" s="21" t="s">
        <v>18</v>
      </c>
      <c r="AQ98" s="3"/>
      <c r="AR98" s="3"/>
      <c r="AS98" s="3"/>
      <c r="AT98" s="3"/>
      <c r="AU98" s="3"/>
      <c r="AV98" s="3"/>
      <c r="AW98" s="3"/>
      <c r="AX98" s="3"/>
      <c r="AY98" s="3"/>
      <c r="AZ98" s="3"/>
    </row>
    <row r="99" spans="1:52" ht="34.950000000000003" customHeight="1">
      <c r="A99" s="536"/>
      <c r="B99" s="536"/>
      <c r="C99" s="536"/>
      <c r="D99" s="541"/>
      <c r="E99" s="544"/>
      <c r="F99" s="547"/>
      <c r="G99" s="547"/>
      <c r="H99" s="536"/>
      <c r="I99" s="547"/>
      <c r="J99" s="536"/>
      <c r="K99" s="10" t="s">
        <v>11</v>
      </c>
      <c r="L99" s="495" t="s">
        <v>114</v>
      </c>
      <c r="M99" s="496"/>
      <c r="N99" s="10">
        <f>ID_31!B21</f>
        <v>679060</v>
      </c>
      <c r="O99" s="11" t="s">
        <v>11</v>
      </c>
      <c r="P99" s="501" t="s">
        <v>114</v>
      </c>
      <c r="Q99" s="502"/>
      <c r="R99" s="503"/>
      <c r="S99" s="18" t="s">
        <v>11</v>
      </c>
      <c r="T99" s="551" t="s">
        <v>114</v>
      </c>
      <c r="U99" s="552"/>
      <c r="V99" s="553"/>
      <c r="W99" s="19" t="s">
        <v>11</v>
      </c>
      <c r="X99" s="557" t="s">
        <v>114</v>
      </c>
      <c r="Y99" s="558"/>
      <c r="Z99" s="559"/>
      <c r="AA99" s="10" t="s">
        <v>11</v>
      </c>
      <c r="AB99" s="495" t="s">
        <v>114</v>
      </c>
      <c r="AC99" s="589"/>
      <c r="AD99" s="496"/>
      <c r="AE99" s="11" t="s">
        <v>11</v>
      </c>
      <c r="AF99" s="501" t="s">
        <v>114</v>
      </c>
      <c r="AG99" s="502"/>
      <c r="AH99" s="503"/>
      <c r="AI99" s="18" t="s">
        <v>11</v>
      </c>
      <c r="AJ99" s="551" t="s">
        <v>114</v>
      </c>
      <c r="AK99" s="552"/>
      <c r="AL99" s="553"/>
      <c r="AM99" s="19" t="s">
        <v>11</v>
      </c>
      <c r="AN99" s="557" t="s">
        <v>114</v>
      </c>
      <c r="AO99" s="558"/>
      <c r="AP99" s="559"/>
      <c r="AQ99" s="3"/>
      <c r="AR99" s="3"/>
      <c r="AS99" s="3"/>
      <c r="AT99" s="3"/>
      <c r="AU99" s="3"/>
      <c r="AV99" s="3"/>
      <c r="AW99" s="3"/>
      <c r="AX99" s="3"/>
      <c r="AY99" s="3"/>
      <c r="AZ99" s="3"/>
    </row>
    <row r="100" spans="1:52" ht="34.950000000000003" customHeight="1">
      <c r="A100" s="536"/>
      <c r="B100" s="536"/>
      <c r="C100" s="536"/>
      <c r="D100" s="541"/>
      <c r="E100" s="544"/>
      <c r="F100" s="547"/>
      <c r="G100" s="547"/>
      <c r="H100" s="536"/>
      <c r="I100" s="547"/>
      <c r="J100" s="536"/>
      <c r="K100" s="9" t="s">
        <v>14</v>
      </c>
      <c r="L100" s="497"/>
      <c r="M100" s="498"/>
      <c r="N100" s="9">
        <f>ID_31!B22</f>
        <v>1633776</v>
      </c>
      <c r="O100" s="6" t="s">
        <v>14</v>
      </c>
      <c r="P100" s="504"/>
      <c r="Q100" s="505"/>
      <c r="R100" s="506"/>
      <c r="S100" s="13" t="s">
        <v>14</v>
      </c>
      <c r="T100" s="554"/>
      <c r="U100" s="555"/>
      <c r="V100" s="556"/>
      <c r="W100" s="14" t="s">
        <v>14</v>
      </c>
      <c r="X100" s="560"/>
      <c r="Y100" s="561"/>
      <c r="Z100" s="562"/>
      <c r="AA100" s="9" t="s">
        <v>14</v>
      </c>
      <c r="AB100" s="497"/>
      <c r="AC100" s="590"/>
      <c r="AD100" s="498"/>
      <c r="AE100" s="6" t="s">
        <v>14</v>
      </c>
      <c r="AF100" s="504"/>
      <c r="AG100" s="505"/>
      <c r="AH100" s="506"/>
      <c r="AI100" s="13" t="s">
        <v>14</v>
      </c>
      <c r="AJ100" s="554"/>
      <c r="AK100" s="555"/>
      <c r="AL100" s="556"/>
      <c r="AM100" s="14" t="s">
        <v>14</v>
      </c>
      <c r="AN100" s="560"/>
      <c r="AO100" s="561"/>
      <c r="AP100" s="562"/>
      <c r="AQ100" s="3"/>
      <c r="AR100" s="3"/>
      <c r="AS100" s="3"/>
      <c r="AT100" s="3"/>
      <c r="AU100" s="3"/>
      <c r="AV100" s="3"/>
      <c r="AW100" s="3"/>
      <c r="AX100" s="3"/>
      <c r="AY100" s="3"/>
      <c r="AZ100" s="3"/>
    </row>
    <row r="101" spans="1:52" ht="34.950000000000003" customHeight="1">
      <c r="A101" s="536"/>
      <c r="B101" s="536"/>
      <c r="C101" s="536"/>
      <c r="D101" s="541"/>
      <c r="E101" s="544"/>
      <c r="F101" s="547"/>
      <c r="G101" s="547"/>
      <c r="H101" s="536"/>
      <c r="I101" s="547"/>
      <c r="J101" s="536"/>
      <c r="K101" s="10" t="s">
        <v>12</v>
      </c>
      <c r="L101" s="499"/>
      <c r="M101" s="500"/>
      <c r="N101" s="10">
        <f>ID_31!B23</f>
        <v>807853</v>
      </c>
      <c r="O101" s="11" t="s">
        <v>12</v>
      </c>
      <c r="P101" s="504"/>
      <c r="Q101" s="505"/>
      <c r="R101" s="506"/>
      <c r="S101" s="18" t="s">
        <v>12</v>
      </c>
      <c r="T101" s="554"/>
      <c r="U101" s="555"/>
      <c r="V101" s="556"/>
      <c r="W101" s="19" t="s">
        <v>12</v>
      </c>
      <c r="X101" s="560"/>
      <c r="Y101" s="561"/>
      <c r="Z101" s="562"/>
      <c r="AA101" s="10" t="s">
        <v>12</v>
      </c>
      <c r="AB101" s="497"/>
      <c r="AC101" s="590"/>
      <c r="AD101" s="498"/>
      <c r="AE101" s="11" t="s">
        <v>12</v>
      </c>
      <c r="AF101" s="504"/>
      <c r="AG101" s="505"/>
      <c r="AH101" s="506"/>
      <c r="AI101" s="18" t="s">
        <v>12</v>
      </c>
      <c r="AJ101" s="554"/>
      <c r="AK101" s="555"/>
      <c r="AL101" s="556"/>
      <c r="AM101" s="19" t="s">
        <v>12</v>
      </c>
      <c r="AN101" s="560"/>
      <c r="AO101" s="561"/>
      <c r="AP101" s="562"/>
      <c r="AQ101" s="3"/>
      <c r="AR101" s="3"/>
      <c r="AS101" s="3"/>
      <c r="AT101" s="3"/>
      <c r="AU101" s="3"/>
      <c r="AV101" s="3"/>
      <c r="AW101" s="3"/>
      <c r="AX101" s="3"/>
      <c r="AY101" s="3"/>
      <c r="AZ101" s="3"/>
    </row>
    <row r="102" spans="1:52" ht="34.950000000000003" customHeight="1" thickBot="1">
      <c r="A102" s="537"/>
      <c r="B102" s="537"/>
      <c r="C102" s="537"/>
      <c r="D102" s="542"/>
      <c r="E102" s="545"/>
      <c r="F102" s="548"/>
      <c r="G102" s="548"/>
      <c r="H102" s="537"/>
      <c r="I102" s="548"/>
      <c r="J102" s="537"/>
      <c r="K102" s="57" t="s">
        <v>13</v>
      </c>
      <c r="L102" s="57"/>
      <c r="M102" s="57"/>
      <c r="N102" s="57">
        <f>SUM(N99:N101)</f>
        <v>3120689</v>
      </c>
      <c r="O102" s="244" t="s">
        <v>13</v>
      </c>
      <c r="P102" s="510"/>
      <c r="Q102" s="511"/>
      <c r="R102" s="512"/>
      <c r="S102" s="245" t="s">
        <v>13</v>
      </c>
      <c r="T102" s="586"/>
      <c r="U102" s="587"/>
      <c r="V102" s="588"/>
      <c r="W102" s="246" t="s">
        <v>13</v>
      </c>
      <c r="X102" s="579"/>
      <c r="Y102" s="580"/>
      <c r="Z102" s="581"/>
      <c r="AA102" s="57" t="s">
        <v>18</v>
      </c>
      <c r="AB102" s="591"/>
      <c r="AC102" s="592"/>
      <c r="AD102" s="593"/>
      <c r="AE102" s="244" t="s">
        <v>18</v>
      </c>
      <c r="AF102" s="510"/>
      <c r="AG102" s="511"/>
      <c r="AH102" s="512"/>
      <c r="AI102" s="245" t="s">
        <v>18</v>
      </c>
      <c r="AJ102" s="586"/>
      <c r="AK102" s="587"/>
      <c r="AL102" s="588"/>
      <c r="AM102" s="246" t="s">
        <v>18</v>
      </c>
      <c r="AN102" s="579"/>
      <c r="AO102" s="580"/>
      <c r="AP102" s="581"/>
      <c r="AQ102" s="3"/>
      <c r="AR102" s="3"/>
      <c r="AS102" s="3"/>
      <c r="AT102" s="3"/>
      <c r="AU102" s="3"/>
      <c r="AV102" s="3"/>
      <c r="AW102" s="3"/>
      <c r="AX102" s="3"/>
      <c r="AY102" s="3"/>
      <c r="AZ102" s="3"/>
    </row>
    <row r="103" spans="1:52" ht="34.950000000000003" customHeight="1">
      <c r="A103" s="492" t="s">
        <v>113</v>
      </c>
      <c r="B103" s="517" t="s">
        <v>523</v>
      </c>
      <c r="C103" s="492" t="s">
        <v>67</v>
      </c>
      <c r="D103" s="518" t="s">
        <v>68</v>
      </c>
      <c r="E103" s="527" t="s">
        <v>69</v>
      </c>
      <c r="F103" s="515" t="s">
        <v>77</v>
      </c>
      <c r="G103" s="515" t="s">
        <v>82</v>
      </c>
      <c r="H103" s="492" t="s">
        <v>87</v>
      </c>
      <c r="I103" s="515" t="s">
        <v>107</v>
      </c>
      <c r="J103" s="492" t="s">
        <v>112</v>
      </c>
      <c r="K103" s="15"/>
      <c r="L103" s="15" t="s">
        <v>9</v>
      </c>
      <c r="M103" s="15" t="s">
        <v>10</v>
      </c>
      <c r="N103" s="15" t="s">
        <v>13</v>
      </c>
      <c r="O103" s="8"/>
      <c r="P103" s="8" t="s">
        <v>9</v>
      </c>
      <c r="Q103" s="8" t="s">
        <v>10</v>
      </c>
      <c r="R103" s="8" t="s">
        <v>13</v>
      </c>
      <c r="S103" s="16"/>
      <c r="T103" s="16" t="s">
        <v>9</v>
      </c>
      <c r="U103" s="16" t="s">
        <v>10</v>
      </c>
      <c r="V103" s="16" t="s">
        <v>13</v>
      </c>
      <c r="W103" s="17"/>
      <c r="X103" s="17" t="s">
        <v>9</v>
      </c>
      <c r="Y103" s="17" t="s">
        <v>10</v>
      </c>
      <c r="Z103" s="17" t="s">
        <v>13</v>
      </c>
      <c r="AA103" s="15"/>
      <c r="AB103" s="15" t="s">
        <v>9</v>
      </c>
      <c r="AC103" s="15" t="s">
        <v>10</v>
      </c>
      <c r="AD103" s="15" t="s">
        <v>18</v>
      </c>
      <c r="AE103" s="8"/>
      <c r="AF103" s="8" t="s">
        <v>9</v>
      </c>
      <c r="AG103" s="8" t="s">
        <v>10</v>
      </c>
      <c r="AH103" s="8" t="s">
        <v>18</v>
      </c>
      <c r="AI103" s="16"/>
      <c r="AJ103" s="16" t="s">
        <v>9</v>
      </c>
      <c r="AK103" s="16" t="s">
        <v>10</v>
      </c>
      <c r="AL103" s="16" t="s">
        <v>18</v>
      </c>
      <c r="AM103" s="17"/>
      <c r="AN103" s="17" t="s">
        <v>9</v>
      </c>
      <c r="AO103" s="17" t="s">
        <v>10</v>
      </c>
      <c r="AP103" s="17" t="s">
        <v>18</v>
      </c>
      <c r="AQ103" s="3"/>
      <c r="AR103" s="3"/>
      <c r="AS103" s="3"/>
      <c r="AT103" s="3"/>
      <c r="AU103" s="3"/>
      <c r="AV103" s="3"/>
      <c r="AW103" s="3"/>
      <c r="AX103" s="3"/>
      <c r="AY103" s="3"/>
      <c r="AZ103" s="3"/>
    </row>
    <row r="104" spans="1:52" ht="34.950000000000003" customHeight="1">
      <c r="A104" s="493"/>
      <c r="B104" s="493"/>
      <c r="C104" s="493" t="s">
        <v>67</v>
      </c>
      <c r="D104" s="519" t="s">
        <v>68</v>
      </c>
      <c r="E104" s="526" t="s">
        <v>69</v>
      </c>
      <c r="F104" s="514"/>
      <c r="G104" s="514"/>
      <c r="H104" s="493"/>
      <c r="I104" s="514"/>
      <c r="J104" s="493"/>
      <c r="K104" s="10" t="s">
        <v>11</v>
      </c>
      <c r="L104" s="495" t="s">
        <v>114</v>
      </c>
      <c r="M104" s="496"/>
      <c r="N104" s="10">
        <f>ID_33!B24</f>
        <v>16935013.724035606</v>
      </c>
      <c r="O104" s="11" t="s">
        <v>11</v>
      </c>
      <c r="P104" s="501" t="s">
        <v>114</v>
      </c>
      <c r="Q104" s="503"/>
      <c r="R104" s="11">
        <f>ID_33!E24</f>
        <v>32607654.599406525</v>
      </c>
      <c r="S104" s="18" t="s">
        <v>11</v>
      </c>
      <c r="T104" s="551" t="s">
        <v>114</v>
      </c>
      <c r="U104" s="552"/>
      <c r="V104" s="553"/>
      <c r="W104" s="19" t="s">
        <v>11</v>
      </c>
      <c r="X104" s="557" t="s">
        <v>114</v>
      </c>
      <c r="Y104" s="558"/>
      <c r="Z104" s="559"/>
      <c r="AA104" s="10" t="s">
        <v>11</v>
      </c>
      <c r="AB104" s="495" t="s">
        <v>114</v>
      </c>
      <c r="AC104" s="496"/>
      <c r="AD104" s="10">
        <f>N104/ID_33!H15</f>
        <v>297105.50393044925</v>
      </c>
      <c r="AE104" s="11" t="s">
        <v>11</v>
      </c>
      <c r="AF104" s="501" t="s">
        <v>114</v>
      </c>
      <c r="AG104" s="503"/>
      <c r="AH104" s="11">
        <f>R104/ID_33!K15</f>
        <v>1292.5696515402753</v>
      </c>
      <c r="AI104" s="18" t="s">
        <v>11</v>
      </c>
      <c r="AJ104" s="551" t="s">
        <v>114</v>
      </c>
      <c r="AK104" s="552"/>
      <c r="AL104" s="553"/>
      <c r="AM104" s="19" t="s">
        <v>11</v>
      </c>
      <c r="AN104" s="557" t="s">
        <v>114</v>
      </c>
      <c r="AO104" s="558"/>
      <c r="AP104" s="559"/>
      <c r="AQ104" s="3"/>
      <c r="AR104" s="3"/>
      <c r="AS104" s="3"/>
      <c r="AT104" s="3"/>
      <c r="AU104" s="3"/>
      <c r="AV104" s="3"/>
      <c r="AW104" s="3"/>
      <c r="AX104" s="3"/>
      <c r="AY104" s="3"/>
      <c r="AZ104" s="3"/>
    </row>
    <row r="105" spans="1:52" ht="34.950000000000003" customHeight="1">
      <c r="A105" s="493"/>
      <c r="B105" s="493"/>
      <c r="C105" s="493" t="s">
        <v>67</v>
      </c>
      <c r="D105" s="519" t="s">
        <v>68</v>
      </c>
      <c r="E105" s="526" t="s">
        <v>69</v>
      </c>
      <c r="F105" s="514"/>
      <c r="G105" s="514"/>
      <c r="H105" s="493"/>
      <c r="I105" s="514"/>
      <c r="J105" s="493"/>
      <c r="K105" s="9" t="s">
        <v>14</v>
      </c>
      <c r="L105" s="497"/>
      <c r="M105" s="498"/>
      <c r="N105" s="9">
        <f>ID_33!B25</f>
        <v>219172869.28783381</v>
      </c>
      <c r="O105" s="6" t="s">
        <v>14</v>
      </c>
      <c r="P105" s="504"/>
      <c r="Q105" s="506"/>
      <c r="R105" s="6">
        <f>ID_33!E25</f>
        <v>84741108.605341241</v>
      </c>
      <c r="S105" s="13" t="s">
        <v>14</v>
      </c>
      <c r="T105" s="554"/>
      <c r="U105" s="555"/>
      <c r="V105" s="556"/>
      <c r="W105" s="14" t="s">
        <v>14</v>
      </c>
      <c r="X105" s="560"/>
      <c r="Y105" s="561"/>
      <c r="Z105" s="562"/>
      <c r="AA105" s="9" t="s">
        <v>14</v>
      </c>
      <c r="AB105" s="497"/>
      <c r="AC105" s="498"/>
      <c r="AD105" s="9">
        <f>N105/ID_33!H16</f>
        <v>191920.20077743765</v>
      </c>
      <c r="AE105" s="6" t="s">
        <v>14</v>
      </c>
      <c r="AF105" s="504"/>
      <c r="AG105" s="506"/>
      <c r="AH105" s="6">
        <f>R105/ID_33!K16</f>
        <v>1400.9573569194094</v>
      </c>
      <c r="AI105" s="13" t="s">
        <v>14</v>
      </c>
      <c r="AJ105" s="554"/>
      <c r="AK105" s="555"/>
      <c r="AL105" s="556"/>
      <c r="AM105" s="14" t="s">
        <v>14</v>
      </c>
      <c r="AN105" s="560"/>
      <c r="AO105" s="561"/>
      <c r="AP105" s="562"/>
      <c r="AQ105" s="3"/>
      <c r="AR105" s="3"/>
      <c r="AS105" s="3"/>
      <c r="AT105" s="3"/>
      <c r="AU105" s="3"/>
      <c r="AV105" s="3"/>
      <c r="AW105" s="3"/>
      <c r="AX105" s="3"/>
      <c r="AY105" s="3"/>
      <c r="AZ105" s="3"/>
    </row>
    <row r="106" spans="1:52" ht="34.950000000000003" customHeight="1">
      <c r="A106" s="493"/>
      <c r="B106" s="493"/>
      <c r="C106" s="493" t="s">
        <v>67</v>
      </c>
      <c r="D106" s="519" t="s">
        <v>68</v>
      </c>
      <c r="E106" s="526" t="s">
        <v>69</v>
      </c>
      <c r="F106" s="514"/>
      <c r="G106" s="514"/>
      <c r="H106" s="493"/>
      <c r="I106" s="514"/>
      <c r="J106" s="493"/>
      <c r="K106" s="10" t="s">
        <v>12</v>
      </c>
      <c r="L106" s="499"/>
      <c r="M106" s="500"/>
      <c r="N106" s="10">
        <f>ID_33!B26</f>
        <v>211198523.73887238</v>
      </c>
      <c r="O106" s="11" t="s">
        <v>12</v>
      </c>
      <c r="P106" s="594"/>
      <c r="Q106" s="595"/>
      <c r="R106" s="11">
        <f>ID_33!E26</f>
        <v>35915797.032640949</v>
      </c>
      <c r="S106" s="18" t="s">
        <v>12</v>
      </c>
      <c r="T106" s="554"/>
      <c r="U106" s="555"/>
      <c r="V106" s="556"/>
      <c r="W106" s="19" t="s">
        <v>12</v>
      </c>
      <c r="X106" s="560"/>
      <c r="Y106" s="561"/>
      <c r="Z106" s="562"/>
      <c r="AA106" s="10" t="s">
        <v>12</v>
      </c>
      <c r="AB106" s="497"/>
      <c r="AC106" s="498"/>
      <c r="AD106" s="10">
        <f>N106/ID_33!H17</f>
        <v>77447.20342459566</v>
      </c>
      <c r="AE106" s="11" t="s">
        <v>12</v>
      </c>
      <c r="AF106" s="504"/>
      <c r="AG106" s="506"/>
      <c r="AH106" s="11">
        <f>R106/ID_33!K17</f>
        <v>1427.893175074184</v>
      </c>
      <c r="AI106" s="18" t="s">
        <v>12</v>
      </c>
      <c r="AJ106" s="554"/>
      <c r="AK106" s="555"/>
      <c r="AL106" s="556"/>
      <c r="AM106" s="19" t="s">
        <v>12</v>
      </c>
      <c r="AN106" s="560"/>
      <c r="AO106" s="561"/>
      <c r="AP106" s="562"/>
      <c r="AQ106" s="3"/>
      <c r="AR106" s="3"/>
      <c r="AS106" s="3"/>
      <c r="AT106" s="3"/>
      <c r="AU106" s="3"/>
      <c r="AV106" s="3"/>
      <c r="AW106" s="3"/>
      <c r="AX106" s="3"/>
      <c r="AY106" s="3"/>
      <c r="AZ106" s="3"/>
    </row>
    <row r="107" spans="1:52" ht="34.950000000000003" customHeight="1" thickBot="1">
      <c r="A107" s="493"/>
      <c r="B107" s="493"/>
      <c r="C107" s="493" t="s">
        <v>67</v>
      </c>
      <c r="D107" s="519" t="s">
        <v>68</v>
      </c>
      <c r="E107" s="526" t="s">
        <v>69</v>
      </c>
      <c r="F107" s="514"/>
      <c r="G107" s="514"/>
      <c r="H107" s="493"/>
      <c r="I107" s="514"/>
      <c r="J107" s="493"/>
      <c r="K107" s="9" t="s">
        <v>13</v>
      </c>
      <c r="L107" s="9"/>
      <c r="M107" s="9"/>
      <c r="N107" s="9">
        <f>SUM(N104:N106)</f>
        <v>447306406.75074184</v>
      </c>
      <c r="O107" s="6" t="s">
        <v>13</v>
      </c>
      <c r="P107" s="6"/>
      <c r="Q107" s="6"/>
      <c r="R107" s="6">
        <f>SUM(R104:R106)</f>
        <v>153264560.23738873</v>
      </c>
      <c r="S107" s="13" t="s">
        <v>13</v>
      </c>
      <c r="T107" s="554"/>
      <c r="U107" s="555"/>
      <c r="V107" s="556"/>
      <c r="W107" s="14" t="s">
        <v>13</v>
      </c>
      <c r="X107" s="560"/>
      <c r="Y107" s="561"/>
      <c r="Z107" s="562"/>
      <c r="AA107" s="9" t="s">
        <v>18</v>
      </c>
      <c r="AB107" s="247"/>
      <c r="AC107" s="248"/>
      <c r="AD107" s="57">
        <f>N107/(ID_33!H15+ID_33!H16+ID_33!H17)</f>
        <v>113934.38786315381</v>
      </c>
      <c r="AE107" s="6" t="s">
        <v>18</v>
      </c>
      <c r="AF107" s="249"/>
      <c r="AG107" s="250"/>
      <c r="AH107" s="6">
        <f>R107/(ID_33!K15+ID_33!K16+ID_33!K17)</f>
        <v>1382.4057459085466</v>
      </c>
      <c r="AI107" s="13" t="s">
        <v>18</v>
      </c>
      <c r="AJ107" s="554"/>
      <c r="AK107" s="555"/>
      <c r="AL107" s="556"/>
      <c r="AM107" s="14" t="s">
        <v>17</v>
      </c>
      <c r="AN107" s="560"/>
      <c r="AO107" s="561"/>
      <c r="AP107" s="562"/>
      <c r="AQ107" s="3"/>
      <c r="AR107" s="3"/>
      <c r="AS107" s="3"/>
      <c r="AT107" s="3"/>
      <c r="AU107" s="3"/>
      <c r="AV107" s="3"/>
      <c r="AW107" s="3"/>
      <c r="AX107" s="3"/>
      <c r="AY107" s="3"/>
      <c r="AZ107" s="3"/>
    </row>
    <row r="108" spans="1:52" ht="34.950000000000003" customHeight="1">
      <c r="A108" s="507" t="s">
        <v>113</v>
      </c>
      <c r="B108" s="507" t="s">
        <v>523</v>
      </c>
      <c r="C108" s="507">
        <v>34</v>
      </c>
      <c r="D108" s="528" t="s">
        <v>70</v>
      </c>
      <c r="E108" s="531" t="s">
        <v>71</v>
      </c>
      <c r="F108" s="520" t="s">
        <v>78</v>
      </c>
      <c r="G108" s="520" t="s">
        <v>83</v>
      </c>
      <c r="H108" s="507" t="s">
        <v>87</v>
      </c>
      <c r="I108" s="520" t="s">
        <v>108</v>
      </c>
      <c r="J108" s="507" t="s">
        <v>112</v>
      </c>
      <c r="K108" s="12"/>
      <c r="L108" s="12" t="s">
        <v>9</v>
      </c>
      <c r="M108" s="12" t="s">
        <v>10</v>
      </c>
      <c r="N108" s="12" t="s">
        <v>13</v>
      </c>
      <c r="O108" s="7"/>
      <c r="P108" s="7" t="s">
        <v>9</v>
      </c>
      <c r="Q108" s="7" t="s">
        <v>10</v>
      </c>
      <c r="R108" s="7" t="s">
        <v>13</v>
      </c>
      <c r="S108" s="20"/>
      <c r="T108" s="20" t="s">
        <v>9</v>
      </c>
      <c r="U108" s="20" t="s">
        <v>10</v>
      </c>
      <c r="V108" s="20" t="s">
        <v>13</v>
      </c>
      <c r="W108" s="21"/>
      <c r="X108" s="21" t="s">
        <v>9</v>
      </c>
      <c r="Y108" s="21" t="s">
        <v>10</v>
      </c>
      <c r="Z108" s="21" t="s">
        <v>13</v>
      </c>
      <c r="AA108" s="12"/>
      <c r="AB108" s="12" t="s">
        <v>9</v>
      </c>
      <c r="AC108" s="12" t="s">
        <v>10</v>
      </c>
      <c r="AD108" s="12" t="s">
        <v>18</v>
      </c>
      <c r="AE108" s="7"/>
      <c r="AF108" s="7" t="s">
        <v>9</v>
      </c>
      <c r="AG108" s="7" t="s">
        <v>10</v>
      </c>
      <c r="AH108" s="7" t="s">
        <v>18</v>
      </c>
      <c r="AI108" s="20"/>
      <c r="AJ108" s="20" t="s">
        <v>9</v>
      </c>
      <c r="AK108" s="20" t="s">
        <v>10</v>
      </c>
      <c r="AL108" s="20" t="s">
        <v>18</v>
      </c>
      <c r="AM108" s="21"/>
      <c r="AN108" s="21" t="s">
        <v>9</v>
      </c>
      <c r="AO108" s="21" t="s">
        <v>10</v>
      </c>
      <c r="AP108" s="21" t="s">
        <v>18</v>
      </c>
      <c r="AQ108" s="3"/>
      <c r="AR108" s="3"/>
      <c r="AS108" s="3"/>
      <c r="AT108" s="3"/>
      <c r="AU108" s="3"/>
      <c r="AV108" s="3"/>
      <c r="AW108" s="3"/>
      <c r="AX108" s="3"/>
      <c r="AY108" s="3"/>
      <c r="AZ108" s="3"/>
    </row>
    <row r="109" spans="1:52" ht="34.950000000000003" customHeight="1">
      <c r="A109" s="508"/>
      <c r="B109" s="508"/>
      <c r="C109" s="508">
        <v>34</v>
      </c>
      <c r="D109" s="529" t="s">
        <v>70</v>
      </c>
      <c r="E109" s="532" t="s">
        <v>71</v>
      </c>
      <c r="F109" s="521"/>
      <c r="G109" s="521"/>
      <c r="H109" s="508"/>
      <c r="I109" s="521"/>
      <c r="J109" s="508"/>
      <c r="K109" s="10" t="s">
        <v>11</v>
      </c>
      <c r="L109" s="495" t="s">
        <v>114</v>
      </c>
      <c r="M109" s="496"/>
      <c r="N109" s="10">
        <f>ID_34!B36</f>
        <v>7541078.6515513128</v>
      </c>
      <c r="O109" s="11" t="s">
        <v>11</v>
      </c>
      <c r="P109" s="501" t="s">
        <v>114</v>
      </c>
      <c r="Q109" s="502"/>
      <c r="R109" s="503"/>
      <c r="S109" s="18" t="s">
        <v>11</v>
      </c>
      <c r="T109" s="551" t="s">
        <v>114</v>
      </c>
      <c r="U109" s="552"/>
      <c r="V109" s="553"/>
      <c r="W109" s="19" t="s">
        <v>11</v>
      </c>
      <c r="X109" s="557" t="s">
        <v>114</v>
      </c>
      <c r="Y109" s="558"/>
      <c r="Z109" s="559"/>
      <c r="AA109" s="10" t="s">
        <v>11</v>
      </c>
      <c r="AB109" s="495" t="s">
        <v>114</v>
      </c>
      <c r="AC109" s="496"/>
      <c r="AD109" s="10">
        <f>N109/ID_34!E27</f>
        <v>56276.706354860544</v>
      </c>
      <c r="AE109" s="11" t="s">
        <v>11</v>
      </c>
      <c r="AF109" s="501" t="s">
        <v>114</v>
      </c>
      <c r="AG109" s="502"/>
      <c r="AH109" s="503"/>
      <c r="AI109" s="18" t="s">
        <v>11</v>
      </c>
      <c r="AJ109" s="551" t="s">
        <v>114</v>
      </c>
      <c r="AK109" s="552"/>
      <c r="AL109" s="553"/>
      <c r="AM109" s="19" t="s">
        <v>11</v>
      </c>
      <c r="AN109" s="557" t="s">
        <v>114</v>
      </c>
      <c r="AO109" s="558"/>
      <c r="AP109" s="559"/>
      <c r="AQ109" s="3"/>
      <c r="AR109" s="3"/>
      <c r="AS109" s="3"/>
      <c r="AT109" s="3"/>
      <c r="AU109" s="3"/>
      <c r="AV109" s="3"/>
      <c r="AW109" s="3"/>
      <c r="AX109" s="3"/>
      <c r="AY109" s="3"/>
      <c r="AZ109" s="3"/>
    </row>
    <row r="110" spans="1:52" ht="34.950000000000003" customHeight="1">
      <c r="A110" s="508"/>
      <c r="B110" s="508"/>
      <c r="C110" s="508">
        <v>34</v>
      </c>
      <c r="D110" s="529" t="s">
        <v>70</v>
      </c>
      <c r="E110" s="532" t="s">
        <v>71</v>
      </c>
      <c r="F110" s="521"/>
      <c r="G110" s="521"/>
      <c r="H110" s="508"/>
      <c r="I110" s="521"/>
      <c r="J110" s="508"/>
      <c r="K110" s="9" t="s">
        <v>14</v>
      </c>
      <c r="L110" s="497"/>
      <c r="M110" s="498"/>
      <c r="N110" s="9">
        <f>ID_34!B37</f>
        <v>19076936.851936847</v>
      </c>
      <c r="O110" s="6" t="s">
        <v>14</v>
      </c>
      <c r="P110" s="504"/>
      <c r="Q110" s="505"/>
      <c r="R110" s="506"/>
      <c r="S110" s="13" t="s">
        <v>14</v>
      </c>
      <c r="T110" s="554"/>
      <c r="U110" s="555"/>
      <c r="V110" s="556"/>
      <c r="W110" s="14" t="s">
        <v>14</v>
      </c>
      <c r="X110" s="560"/>
      <c r="Y110" s="561"/>
      <c r="Z110" s="562"/>
      <c r="AA110" s="9" t="s">
        <v>14</v>
      </c>
      <c r="AB110" s="497"/>
      <c r="AC110" s="498"/>
      <c r="AD110" s="9">
        <f>N110/ID_34!E28</f>
        <v>26204.583587825338</v>
      </c>
      <c r="AE110" s="6" t="s">
        <v>14</v>
      </c>
      <c r="AF110" s="504"/>
      <c r="AG110" s="505"/>
      <c r="AH110" s="506"/>
      <c r="AI110" s="13" t="s">
        <v>14</v>
      </c>
      <c r="AJ110" s="554"/>
      <c r="AK110" s="555"/>
      <c r="AL110" s="556"/>
      <c r="AM110" s="14" t="s">
        <v>14</v>
      </c>
      <c r="AN110" s="560"/>
      <c r="AO110" s="561"/>
      <c r="AP110" s="562"/>
      <c r="AQ110" s="3"/>
      <c r="AR110" s="3"/>
      <c r="AS110" s="3"/>
      <c r="AT110" s="3"/>
      <c r="AU110" s="3"/>
      <c r="AV110" s="3"/>
      <c r="AW110" s="3"/>
      <c r="AX110" s="3"/>
      <c r="AY110" s="3"/>
      <c r="AZ110" s="3"/>
    </row>
    <row r="111" spans="1:52" ht="34.950000000000003" customHeight="1">
      <c r="A111" s="508"/>
      <c r="B111" s="508"/>
      <c r="C111" s="508">
        <v>34</v>
      </c>
      <c r="D111" s="529" t="s">
        <v>70</v>
      </c>
      <c r="E111" s="532" t="s">
        <v>71</v>
      </c>
      <c r="F111" s="521"/>
      <c r="G111" s="521"/>
      <c r="H111" s="508"/>
      <c r="I111" s="521"/>
      <c r="J111" s="508"/>
      <c r="K111" s="10" t="s">
        <v>12</v>
      </c>
      <c r="L111" s="499"/>
      <c r="M111" s="500"/>
      <c r="N111" s="10">
        <f>ID_34!B38</f>
        <v>490508.77593170566</v>
      </c>
      <c r="O111" s="11" t="s">
        <v>12</v>
      </c>
      <c r="P111" s="504"/>
      <c r="Q111" s="505"/>
      <c r="R111" s="506"/>
      <c r="S111" s="18" t="s">
        <v>12</v>
      </c>
      <c r="T111" s="554"/>
      <c r="U111" s="555"/>
      <c r="V111" s="556"/>
      <c r="W111" s="19" t="s">
        <v>12</v>
      </c>
      <c r="X111" s="560"/>
      <c r="Y111" s="561"/>
      <c r="Z111" s="562"/>
      <c r="AA111" s="10" t="s">
        <v>12</v>
      </c>
      <c r="AB111" s="499"/>
      <c r="AC111" s="500"/>
      <c r="AD111" s="10">
        <f>N111/ID_34!E29</f>
        <v>10663.234259384906</v>
      </c>
      <c r="AE111" s="11" t="s">
        <v>12</v>
      </c>
      <c r="AF111" s="504"/>
      <c r="AG111" s="505"/>
      <c r="AH111" s="506"/>
      <c r="AI111" s="18" t="s">
        <v>12</v>
      </c>
      <c r="AJ111" s="554"/>
      <c r="AK111" s="555"/>
      <c r="AL111" s="556"/>
      <c r="AM111" s="19" t="s">
        <v>12</v>
      </c>
      <c r="AN111" s="560"/>
      <c r="AO111" s="561"/>
      <c r="AP111" s="562"/>
      <c r="AQ111" s="3"/>
      <c r="AR111" s="3"/>
      <c r="AS111" s="3"/>
      <c r="AT111" s="3"/>
      <c r="AU111" s="3"/>
      <c r="AV111" s="3"/>
      <c r="AW111" s="3"/>
      <c r="AX111" s="3"/>
      <c r="AY111" s="3"/>
      <c r="AZ111" s="3"/>
    </row>
    <row r="112" spans="1:52" ht="34.950000000000003" customHeight="1" thickBot="1">
      <c r="A112" s="509"/>
      <c r="B112" s="509"/>
      <c r="C112" s="509">
        <v>34</v>
      </c>
      <c r="D112" s="530" t="s">
        <v>70</v>
      </c>
      <c r="E112" s="533" t="s">
        <v>71</v>
      </c>
      <c r="F112" s="522"/>
      <c r="G112" s="522"/>
      <c r="H112" s="509"/>
      <c r="I112" s="522"/>
      <c r="J112" s="509"/>
      <c r="K112" s="57" t="s">
        <v>13</v>
      </c>
      <c r="L112" s="57"/>
      <c r="M112" s="57"/>
      <c r="N112" s="57">
        <f>SUM(N109:N111)</f>
        <v>27108524.279419865</v>
      </c>
      <c r="O112" s="244" t="s">
        <v>13</v>
      </c>
      <c r="P112" s="510"/>
      <c r="Q112" s="511"/>
      <c r="R112" s="512"/>
      <c r="S112" s="245" t="s">
        <v>13</v>
      </c>
      <c r="T112" s="586"/>
      <c r="U112" s="587"/>
      <c r="V112" s="588"/>
      <c r="W112" s="246" t="s">
        <v>13</v>
      </c>
      <c r="X112" s="579"/>
      <c r="Y112" s="580"/>
      <c r="Z112" s="581"/>
      <c r="AA112" s="57" t="s">
        <v>18</v>
      </c>
      <c r="AB112" s="57"/>
      <c r="AC112" s="57"/>
      <c r="AD112" s="57">
        <f>N112/(ID_34!E27+ID_34!E28+ID_34!E29)</f>
        <v>29855.202950902934</v>
      </c>
      <c r="AE112" s="244" t="s">
        <v>18</v>
      </c>
      <c r="AF112" s="510"/>
      <c r="AG112" s="511"/>
      <c r="AH112" s="512"/>
      <c r="AI112" s="245" t="s">
        <v>18</v>
      </c>
      <c r="AJ112" s="586"/>
      <c r="AK112" s="587"/>
      <c r="AL112" s="588"/>
      <c r="AM112" s="246" t="s">
        <v>18</v>
      </c>
      <c r="AN112" s="579"/>
      <c r="AO112" s="580"/>
      <c r="AP112" s="581"/>
      <c r="AQ112" s="3"/>
      <c r="AR112" s="3"/>
      <c r="AS112" s="3"/>
      <c r="AT112" s="3"/>
      <c r="AU112" s="3"/>
      <c r="AV112" s="3"/>
      <c r="AW112" s="3"/>
      <c r="AX112" s="3"/>
      <c r="AY112" s="3"/>
      <c r="AZ112" s="3"/>
    </row>
    <row r="113" spans="1:52" ht="34.950000000000003" customHeight="1">
      <c r="A113" s="492" t="s">
        <v>113</v>
      </c>
      <c r="B113" s="517" t="s">
        <v>523</v>
      </c>
      <c r="C113" s="492" t="s">
        <v>72</v>
      </c>
      <c r="D113" s="518" t="s">
        <v>73</v>
      </c>
      <c r="E113" s="527" t="s">
        <v>74</v>
      </c>
      <c r="F113" s="515" t="s">
        <v>78</v>
      </c>
      <c r="G113" s="515" t="s">
        <v>84</v>
      </c>
      <c r="H113" s="492" t="s">
        <v>87</v>
      </c>
      <c r="I113" s="515" t="s">
        <v>109</v>
      </c>
      <c r="J113" s="492" t="s">
        <v>111</v>
      </c>
      <c r="K113" s="15"/>
      <c r="L113" s="15" t="s">
        <v>9</v>
      </c>
      <c r="M113" s="15" t="s">
        <v>10</v>
      </c>
      <c r="N113" s="15" t="s">
        <v>13</v>
      </c>
      <c r="O113" s="8"/>
      <c r="P113" s="8" t="s">
        <v>9</v>
      </c>
      <c r="Q113" s="8" t="s">
        <v>10</v>
      </c>
      <c r="R113" s="8" t="s">
        <v>13</v>
      </c>
      <c r="S113" s="16"/>
      <c r="T113" s="16" t="s">
        <v>9</v>
      </c>
      <c r="U113" s="16" t="s">
        <v>10</v>
      </c>
      <c r="V113" s="16" t="s">
        <v>13</v>
      </c>
      <c r="W113" s="17"/>
      <c r="X113" s="17" t="s">
        <v>9</v>
      </c>
      <c r="Y113" s="17" t="s">
        <v>10</v>
      </c>
      <c r="Z113" s="17" t="s">
        <v>13</v>
      </c>
      <c r="AA113" s="15"/>
      <c r="AB113" s="15" t="s">
        <v>9</v>
      </c>
      <c r="AC113" s="15" t="s">
        <v>10</v>
      </c>
      <c r="AD113" s="15" t="s">
        <v>18</v>
      </c>
      <c r="AE113" s="8"/>
      <c r="AF113" s="8" t="s">
        <v>9</v>
      </c>
      <c r="AG113" s="8" t="s">
        <v>10</v>
      </c>
      <c r="AH113" s="8" t="s">
        <v>18</v>
      </c>
      <c r="AI113" s="16"/>
      <c r="AJ113" s="16" t="s">
        <v>9</v>
      </c>
      <c r="AK113" s="16" t="s">
        <v>10</v>
      </c>
      <c r="AL113" s="16" t="s">
        <v>18</v>
      </c>
      <c r="AM113" s="17"/>
      <c r="AN113" s="17" t="s">
        <v>9</v>
      </c>
      <c r="AO113" s="17" t="s">
        <v>10</v>
      </c>
      <c r="AP113" s="17" t="s">
        <v>18</v>
      </c>
      <c r="AQ113" s="3"/>
      <c r="AR113" s="3"/>
      <c r="AS113" s="3"/>
      <c r="AT113" s="3"/>
      <c r="AU113" s="3"/>
      <c r="AV113" s="3"/>
      <c r="AW113" s="3"/>
      <c r="AX113" s="3"/>
      <c r="AY113" s="3"/>
      <c r="AZ113" s="3"/>
    </row>
    <row r="114" spans="1:52" ht="34.950000000000003" customHeight="1">
      <c r="A114" s="493"/>
      <c r="B114" s="493"/>
      <c r="C114" s="493" t="s">
        <v>72</v>
      </c>
      <c r="D114" s="519" t="s">
        <v>73</v>
      </c>
      <c r="E114" s="526" t="s">
        <v>74</v>
      </c>
      <c r="F114" s="514"/>
      <c r="G114" s="514"/>
      <c r="H114" s="493"/>
      <c r="I114" s="514"/>
      <c r="J114" s="493"/>
      <c r="K114" s="10" t="s">
        <v>11</v>
      </c>
      <c r="L114" s="10">
        <f>ID_35!B41+ID_35!F41+ID_35!J40</f>
        <v>1161741850.3040471</v>
      </c>
      <c r="M114" s="10">
        <f>ID_35!C41+ID_35!G41+ID_35!K40</f>
        <v>759017533.6377157</v>
      </c>
      <c r="N114" s="10">
        <f>SUM(L114:M114)</f>
        <v>1920759383.9417629</v>
      </c>
      <c r="O114" s="11" t="s">
        <v>11</v>
      </c>
      <c r="P114" s="501" t="s">
        <v>114</v>
      </c>
      <c r="Q114" s="502"/>
      <c r="R114" s="503"/>
      <c r="S114" s="18" t="s">
        <v>11</v>
      </c>
      <c r="T114" s="551" t="s">
        <v>114</v>
      </c>
      <c r="U114" s="552"/>
      <c r="V114" s="553"/>
      <c r="W114" s="19" t="s">
        <v>11</v>
      </c>
      <c r="X114" s="557" t="s">
        <v>114</v>
      </c>
      <c r="Y114" s="558"/>
      <c r="Z114" s="559"/>
      <c r="AA114" s="10" t="s">
        <v>11</v>
      </c>
      <c r="AB114" s="495" t="s">
        <v>114</v>
      </c>
      <c r="AC114" s="589"/>
      <c r="AD114" s="496"/>
      <c r="AE114" s="11" t="s">
        <v>11</v>
      </c>
      <c r="AF114" s="501" t="s">
        <v>114</v>
      </c>
      <c r="AG114" s="502"/>
      <c r="AH114" s="503"/>
      <c r="AI114" s="18" t="s">
        <v>11</v>
      </c>
      <c r="AJ114" s="551" t="s">
        <v>114</v>
      </c>
      <c r="AK114" s="552"/>
      <c r="AL114" s="553"/>
      <c r="AM114" s="19" t="s">
        <v>11</v>
      </c>
      <c r="AN114" s="557" t="s">
        <v>114</v>
      </c>
      <c r="AO114" s="558"/>
      <c r="AP114" s="559"/>
      <c r="AQ114" s="3"/>
      <c r="AR114" s="3"/>
      <c r="AS114" s="3"/>
      <c r="AT114" s="3"/>
      <c r="AU114" s="3"/>
      <c r="AV114" s="3"/>
      <c r="AW114" s="3"/>
      <c r="AX114" s="3"/>
      <c r="AY114" s="3"/>
      <c r="AZ114" s="3"/>
    </row>
    <row r="115" spans="1:52" ht="34.950000000000003" customHeight="1">
      <c r="A115" s="493"/>
      <c r="B115" s="493"/>
      <c r="C115" s="493" t="s">
        <v>72</v>
      </c>
      <c r="D115" s="519" t="s">
        <v>73</v>
      </c>
      <c r="E115" s="526" t="s">
        <v>74</v>
      </c>
      <c r="F115" s="514"/>
      <c r="G115" s="514"/>
      <c r="H115" s="493"/>
      <c r="I115" s="514"/>
      <c r="J115" s="493"/>
      <c r="K115" s="9" t="s">
        <v>14</v>
      </c>
      <c r="L115" s="9">
        <f>ID_35!B42+ID_35!F42+ID_35!J41</f>
        <v>2009327885.5827122</v>
      </c>
      <c r="M115" s="9">
        <f>ID_35!C42+ID_35!G42+ID_35!K41</f>
        <v>1008466463.9197147</v>
      </c>
      <c r="N115" s="9">
        <f>SUM(L115:M115)</f>
        <v>3017794349.5024271</v>
      </c>
      <c r="O115" s="6" t="s">
        <v>14</v>
      </c>
      <c r="P115" s="504"/>
      <c r="Q115" s="505"/>
      <c r="R115" s="506"/>
      <c r="S115" s="13" t="s">
        <v>14</v>
      </c>
      <c r="T115" s="554"/>
      <c r="U115" s="555"/>
      <c r="V115" s="556"/>
      <c r="W115" s="14" t="s">
        <v>14</v>
      </c>
      <c r="X115" s="560"/>
      <c r="Y115" s="561"/>
      <c r="Z115" s="562"/>
      <c r="AA115" s="9" t="s">
        <v>14</v>
      </c>
      <c r="AB115" s="497"/>
      <c r="AC115" s="590"/>
      <c r="AD115" s="498"/>
      <c r="AE115" s="6" t="s">
        <v>14</v>
      </c>
      <c r="AF115" s="504"/>
      <c r="AG115" s="505"/>
      <c r="AH115" s="506"/>
      <c r="AI115" s="13" t="s">
        <v>14</v>
      </c>
      <c r="AJ115" s="554"/>
      <c r="AK115" s="555"/>
      <c r="AL115" s="556"/>
      <c r="AM115" s="14" t="s">
        <v>14</v>
      </c>
      <c r="AN115" s="560"/>
      <c r="AO115" s="561"/>
      <c r="AP115" s="562"/>
      <c r="AQ115" s="3"/>
      <c r="AR115" s="3"/>
      <c r="AS115" s="3"/>
      <c r="AT115" s="3"/>
      <c r="AU115" s="3"/>
      <c r="AV115" s="3"/>
      <c r="AW115" s="3"/>
      <c r="AX115" s="3"/>
      <c r="AY115" s="3"/>
      <c r="AZ115" s="3"/>
    </row>
    <row r="116" spans="1:52" ht="34.950000000000003" customHeight="1">
      <c r="A116" s="493"/>
      <c r="B116" s="493"/>
      <c r="C116" s="493" t="s">
        <v>72</v>
      </c>
      <c r="D116" s="519" t="s">
        <v>73</v>
      </c>
      <c r="E116" s="526" t="s">
        <v>74</v>
      </c>
      <c r="F116" s="514"/>
      <c r="G116" s="514"/>
      <c r="H116" s="493"/>
      <c r="I116" s="514"/>
      <c r="J116" s="493"/>
      <c r="K116" s="10" t="s">
        <v>12</v>
      </c>
      <c r="L116" s="10">
        <f>ID_35!B43+ID_35!F43+ID_35!J42</f>
        <v>1371594506.3878343</v>
      </c>
      <c r="M116" s="10">
        <f>ID_35!C43+ID_35!G43+ID_35!K42</f>
        <v>648051129.84482372</v>
      </c>
      <c r="N116" s="10">
        <f>SUM(L116:M116)</f>
        <v>2019645636.2326579</v>
      </c>
      <c r="O116" s="11" t="s">
        <v>12</v>
      </c>
      <c r="P116" s="504"/>
      <c r="Q116" s="505"/>
      <c r="R116" s="506"/>
      <c r="S116" s="18" t="s">
        <v>12</v>
      </c>
      <c r="T116" s="554"/>
      <c r="U116" s="555"/>
      <c r="V116" s="556"/>
      <c r="W116" s="19" t="s">
        <v>12</v>
      </c>
      <c r="X116" s="560"/>
      <c r="Y116" s="561"/>
      <c r="Z116" s="562"/>
      <c r="AA116" s="10" t="s">
        <v>12</v>
      </c>
      <c r="AB116" s="497"/>
      <c r="AC116" s="590"/>
      <c r="AD116" s="498"/>
      <c r="AE116" s="11" t="s">
        <v>12</v>
      </c>
      <c r="AF116" s="504"/>
      <c r="AG116" s="505"/>
      <c r="AH116" s="506"/>
      <c r="AI116" s="18" t="s">
        <v>12</v>
      </c>
      <c r="AJ116" s="554"/>
      <c r="AK116" s="555"/>
      <c r="AL116" s="556"/>
      <c r="AM116" s="19" t="s">
        <v>12</v>
      </c>
      <c r="AN116" s="560"/>
      <c r="AO116" s="561"/>
      <c r="AP116" s="562"/>
      <c r="AQ116" s="3"/>
      <c r="AR116" s="3"/>
      <c r="AS116" s="3"/>
      <c r="AT116" s="3"/>
      <c r="AU116" s="3"/>
      <c r="AV116" s="3"/>
      <c r="AW116" s="3"/>
      <c r="AX116" s="3"/>
      <c r="AY116" s="3"/>
      <c r="AZ116" s="3"/>
    </row>
    <row r="117" spans="1:52" ht="34.950000000000003" customHeight="1" thickBot="1">
      <c r="A117" s="493"/>
      <c r="B117" s="493"/>
      <c r="C117" s="493" t="s">
        <v>72</v>
      </c>
      <c r="D117" s="519" t="s">
        <v>73</v>
      </c>
      <c r="E117" s="526" t="s">
        <v>74</v>
      </c>
      <c r="F117" s="514"/>
      <c r="G117" s="514"/>
      <c r="H117" s="493"/>
      <c r="I117" s="514"/>
      <c r="J117" s="493"/>
      <c r="K117" s="9" t="s">
        <v>13</v>
      </c>
      <c r="L117" s="9">
        <f>SUM(L114:L116)</f>
        <v>4542664242.2745934</v>
      </c>
      <c r="M117" s="9">
        <f>SUM(M114:M116)</f>
        <v>2415535127.4022541</v>
      </c>
      <c r="N117" s="9">
        <f>SUM(N114:N116)</f>
        <v>6958199369.6768475</v>
      </c>
      <c r="O117" s="6" t="s">
        <v>13</v>
      </c>
      <c r="P117" s="504"/>
      <c r="Q117" s="505"/>
      <c r="R117" s="506"/>
      <c r="S117" s="13" t="s">
        <v>13</v>
      </c>
      <c r="T117" s="554"/>
      <c r="U117" s="555"/>
      <c r="V117" s="556"/>
      <c r="W117" s="14" t="s">
        <v>13</v>
      </c>
      <c r="X117" s="560"/>
      <c r="Y117" s="561"/>
      <c r="Z117" s="562"/>
      <c r="AA117" s="9" t="s">
        <v>18</v>
      </c>
      <c r="AB117" s="497"/>
      <c r="AC117" s="590"/>
      <c r="AD117" s="498"/>
      <c r="AE117" s="6" t="s">
        <v>18</v>
      </c>
      <c r="AF117" s="504"/>
      <c r="AG117" s="505"/>
      <c r="AH117" s="506"/>
      <c r="AI117" s="13" t="s">
        <v>18</v>
      </c>
      <c r="AJ117" s="554"/>
      <c r="AK117" s="555"/>
      <c r="AL117" s="556"/>
      <c r="AM117" s="14" t="s">
        <v>17</v>
      </c>
      <c r="AN117" s="560"/>
      <c r="AO117" s="561"/>
      <c r="AP117" s="562"/>
      <c r="AQ117" s="3"/>
      <c r="AR117" s="3"/>
      <c r="AS117" s="3"/>
      <c r="AT117" s="3"/>
      <c r="AU117" s="3"/>
      <c r="AV117" s="3"/>
      <c r="AW117" s="3"/>
      <c r="AX117" s="3"/>
      <c r="AY117" s="3"/>
      <c r="AZ117" s="3"/>
    </row>
    <row r="118" spans="1:52" ht="34.950000000000003" customHeight="1">
      <c r="A118" s="507" t="s">
        <v>113</v>
      </c>
      <c r="B118" s="535" t="s">
        <v>523</v>
      </c>
      <c r="C118" s="507">
        <v>36</v>
      </c>
      <c r="D118" s="528" t="s">
        <v>75</v>
      </c>
      <c r="E118" s="531" t="s">
        <v>76</v>
      </c>
      <c r="F118" s="520" t="s">
        <v>170</v>
      </c>
      <c r="G118" s="520" t="s">
        <v>85</v>
      </c>
      <c r="H118" s="507" t="s">
        <v>87</v>
      </c>
      <c r="I118" s="520" t="s">
        <v>110</v>
      </c>
      <c r="J118" s="507" t="s">
        <v>111</v>
      </c>
      <c r="K118" s="12"/>
      <c r="L118" s="12" t="s">
        <v>9</v>
      </c>
      <c r="M118" s="12" t="s">
        <v>10</v>
      </c>
      <c r="N118" s="12" t="s">
        <v>13</v>
      </c>
      <c r="O118" s="7"/>
      <c r="P118" s="7" t="s">
        <v>9</v>
      </c>
      <c r="Q118" s="7" t="s">
        <v>10</v>
      </c>
      <c r="R118" s="7" t="s">
        <v>13</v>
      </c>
      <c r="S118" s="20"/>
      <c r="T118" s="20" t="s">
        <v>9</v>
      </c>
      <c r="U118" s="20" t="s">
        <v>10</v>
      </c>
      <c r="V118" s="20" t="s">
        <v>13</v>
      </c>
      <c r="W118" s="21"/>
      <c r="X118" s="21" t="s">
        <v>9</v>
      </c>
      <c r="Y118" s="21" t="s">
        <v>10</v>
      </c>
      <c r="Z118" s="21" t="s">
        <v>13</v>
      </c>
      <c r="AA118" s="12"/>
      <c r="AB118" s="12" t="s">
        <v>9</v>
      </c>
      <c r="AC118" s="12" t="s">
        <v>10</v>
      </c>
      <c r="AD118" s="12" t="s">
        <v>18</v>
      </c>
      <c r="AE118" s="7"/>
      <c r="AF118" s="7" t="s">
        <v>9</v>
      </c>
      <c r="AG118" s="7" t="s">
        <v>10</v>
      </c>
      <c r="AH118" s="7" t="s">
        <v>18</v>
      </c>
      <c r="AI118" s="20"/>
      <c r="AJ118" s="20" t="s">
        <v>9</v>
      </c>
      <c r="AK118" s="20" t="s">
        <v>10</v>
      </c>
      <c r="AL118" s="20" t="s">
        <v>18</v>
      </c>
      <c r="AM118" s="21"/>
      <c r="AN118" s="21" t="s">
        <v>9</v>
      </c>
      <c r="AO118" s="21" t="s">
        <v>10</v>
      </c>
      <c r="AP118" s="21" t="s">
        <v>18</v>
      </c>
      <c r="AQ118" s="3"/>
      <c r="AR118" s="3"/>
      <c r="AS118" s="3"/>
      <c r="AT118" s="3"/>
      <c r="AU118" s="3"/>
      <c r="AV118" s="3"/>
      <c r="AW118" s="3"/>
      <c r="AX118" s="3"/>
      <c r="AY118" s="3"/>
      <c r="AZ118" s="3"/>
    </row>
    <row r="119" spans="1:52" ht="34.950000000000003" customHeight="1">
      <c r="A119" s="508"/>
      <c r="B119" s="536"/>
      <c r="C119" s="508">
        <v>36</v>
      </c>
      <c r="D119" s="529" t="s">
        <v>75</v>
      </c>
      <c r="E119" s="532" t="s">
        <v>76</v>
      </c>
      <c r="F119" s="521"/>
      <c r="G119" s="521"/>
      <c r="H119" s="508"/>
      <c r="I119" s="521"/>
      <c r="J119" s="508"/>
      <c r="K119" s="10" t="s">
        <v>11</v>
      </c>
      <c r="L119" s="10">
        <f>ID_36!B39</f>
        <v>267126167.56962022</v>
      </c>
      <c r="M119" s="10">
        <f>ID_36!C39</f>
        <v>120952809.79746836</v>
      </c>
      <c r="N119" s="10">
        <f>SUM(L119:M119)</f>
        <v>388078977.36708856</v>
      </c>
      <c r="O119" s="11" t="s">
        <v>11</v>
      </c>
      <c r="P119" s="11">
        <f>ID_36!F39</f>
        <v>1006431494.5443038</v>
      </c>
      <c r="Q119" s="11">
        <f>ID_36!G39</f>
        <v>964539919.16455698</v>
      </c>
      <c r="R119" s="11">
        <f>SUM(P119:Q119)</f>
        <v>1970971413.7088609</v>
      </c>
      <c r="S119" s="18" t="s">
        <v>11</v>
      </c>
      <c r="T119" s="551" t="s">
        <v>114</v>
      </c>
      <c r="U119" s="552"/>
      <c r="V119" s="553"/>
      <c r="W119" s="19" t="s">
        <v>11</v>
      </c>
      <c r="X119" s="557" t="s">
        <v>114</v>
      </c>
      <c r="Y119" s="558"/>
      <c r="Z119" s="559"/>
      <c r="AA119" s="10" t="s">
        <v>11</v>
      </c>
      <c r="AB119" s="495" t="s">
        <v>114</v>
      </c>
      <c r="AC119" s="589"/>
      <c r="AD119" s="496"/>
      <c r="AE119" s="11" t="s">
        <v>11</v>
      </c>
      <c r="AF119" s="501" t="s">
        <v>114</v>
      </c>
      <c r="AG119" s="502"/>
      <c r="AH119" s="503"/>
      <c r="AI119" s="18" t="s">
        <v>11</v>
      </c>
      <c r="AJ119" s="551" t="s">
        <v>114</v>
      </c>
      <c r="AK119" s="552"/>
      <c r="AL119" s="553"/>
      <c r="AM119" s="19" t="s">
        <v>11</v>
      </c>
      <c r="AN119" s="557" t="s">
        <v>114</v>
      </c>
      <c r="AO119" s="558"/>
      <c r="AP119" s="559"/>
      <c r="AQ119" s="3"/>
      <c r="AR119" s="3"/>
      <c r="AS119" s="3"/>
      <c r="AT119" s="3"/>
      <c r="AU119" s="3"/>
      <c r="AV119" s="3"/>
      <c r="AW119" s="3"/>
      <c r="AX119" s="3"/>
      <c r="AY119" s="3"/>
      <c r="AZ119" s="3"/>
    </row>
    <row r="120" spans="1:52" ht="34.950000000000003" customHeight="1">
      <c r="A120" s="508"/>
      <c r="B120" s="536"/>
      <c r="C120" s="508">
        <v>36</v>
      </c>
      <c r="D120" s="529" t="s">
        <v>75</v>
      </c>
      <c r="E120" s="532" t="s">
        <v>76</v>
      </c>
      <c r="F120" s="521"/>
      <c r="G120" s="521"/>
      <c r="H120" s="508"/>
      <c r="I120" s="521"/>
      <c r="J120" s="508"/>
      <c r="K120" s="9" t="s">
        <v>14</v>
      </c>
      <c r="L120" s="9">
        <f>ID_36!B40</f>
        <v>1196710484.670886</v>
      </c>
      <c r="M120" s="9">
        <f>ID_36!C40</f>
        <v>448212110.94936711</v>
      </c>
      <c r="N120" s="9">
        <f t="shared" ref="N120:N121" si="1">SUM(L120:M120)</f>
        <v>1644922595.6202531</v>
      </c>
      <c r="O120" s="6" t="s">
        <v>14</v>
      </c>
      <c r="P120" s="6">
        <f>ID_36!F40</f>
        <v>1142071842.9746835</v>
      </c>
      <c r="Q120" s="6">
        <f>ID_36!G40</f>
        <v>946685509.06329107</v>
      </c>
      <c r="R120" s="6">
        <f>SUM(P120:Q120)</f>
        <v>2088757352.0379746</v>
      </c>
      <c r="S120" s="13" t="s">
        <v>14</v>
      </c>
      <c r="T120" s="554"/>
      <c r="U120" s="555"/>
      <c r="V120" s="556"/>
      <c r="W120" s="14" t="s">
        <v>14</v>
      </c>
      <c r="X120" s="560"/>
      <c r="Y120" s="561"/>
      <c r="Z120" s="562"/>
      <c r="AA120" s="9" t="s">
        <v>14</v>
      </c>
      <c r="AB120" s="497"/>
      <c r="AC120" s="590"/>
      <c r="AD120" s="498"/>
      <c r="AE120" s="6" t="s">
        <v>14</v>
      </c>
      <c r="AF120" s="504"/>
      <c r="AG120" s="505"/>
      <c r="AH120" s="506"/>
      <c r="AI120" s="13" t="s">
        <v>14</v>
      </c>
      <c r="AJ120" s="554"/>
      <c r="AK120" s="555"/>
      <c r="AL120" s="556"/>
      <c r="AM120" s="14" t="s">
        <v>14</v>
      </c>
      <c r="AN120" s="560"/>
      <c r="AO120" s="561"/>
      <c r="AP120" s="562"/>
      <c r="AQ120" s="3"/>
      <c r="AR120" s="3"/>
      <c r="AS120" s="3"/>
      <c r="AT120" s="3"/>
      <c r="AU120" s="3"/>
      <c r="AV120" s="3"/>
      <c r="AW120" s="3"/>
      <c r="AX120" s="3"/>
      <c r="AY120" s="3"/>
      <c r="AZ120" s="3"/>
    </row>
    <row r="121" spans="1:52" ht="34.950000000000003" customHeight="1">
      <c r="A121" s="508"/>
      <c r="B121" s="536"/>
      <c r="C121" s="508">
        <v>36</v>
      </c>
      <c r="D121" s="529" t="s">
        <v>75</v>
      </c>
      <c r="E121" s="532" t="s">
        <v>76</v>
      </c>
      <c r="F121" s="521"/>
      <c r="G121" s="521"/>
      <c r="H121" s="508"/>
      <c r="I121" s="521"/>
      <c r="J121" s="508"/>
      <c r="K121" s="10" t="s">
        <v>12</v>
      </c>
      <c r="L121" s="10">
        <f>ID_36!B41</f>
        <v>461864673.6582278</v>
      </c>
      <c r="M121" s="10">
        <f>ID_36!C41</f>
        <v>141857516.77215189</v>
      </c>
      <c r="N121" s="10">
        <f t="shared" si="1"/>
        <v>603722190.43037963</v>
      </c>
      <c r="O121" s="11" t="s">
        <v>12</v>
      </c>
      <c r="P121" s="11">
        <f>ID_36!F41</f>
        <v>314107880.15189874</v>
      </c>
      <c r="Q121" s="11">
        <f>ID_36!G41</f>
        <v>218861704.27848101</v>
      </c>
      <c r="R121" s="11">
        <f>SUM(P121:Q121)</f>
        <v>532969584.43037975</v>
      </c>
      <c r="S121" s="18" t="s">
        <v>12</v>
      </c>
      <c r="T121" s="554"/>
      <c r="U121" s="555"/>
      <c r="V121" s="556"/>
      <c r="W121" s="19" t="s">
        <v>12</v>
      </c>
      <c r="X121" s="560"/>
      <c r="Y121" s="561"/>
      <c r="Z121" s="562"/>
      <c r="AA121" s="10" t="s">
        <v>12</v>
      </c>
      <c r="AB121" s="497"/>
      <c r="AC121" s="590"/>
      <c r="AD121" s="498"/>
      <c r="AE121" s="11" t="s">
        <v>12</v>
      </c>
      <c r="AF121" s="504"/>
      <c r="AG121" s="505"/>
      <c r="AH121" s="506"/>
      <c r="AI121" s="18" t="s">
        <v>12</v>
      </c>
      <c r="AJ121" s="554"/>
      <c r="AK121" s="555"/>
      <c r="AL121" s="556"/>
      <c r="AM121" s="19" t="s">
        <v>12</v>
      </c>
      <c r="AN121" s="560"/>
      <c r="AO121" s="561"/>
      <c r="AP121" s="562"/>
      <c r="AQ121" s="3"/>
      <c r="AR121" s="3"/>
      <c r="AS121" s="3"/>
      <c r="AT121" s="3"/>
      <c r="AU121" s="3"/>
      <c r="AV121" s="3"/>
      <c r="AW121" s="3"/>
      <c r="AX121" s="3"/>
      <c r="AY121" s="3"/>
      <c r="AZ121" s="3"/>
    </row>
    <row r="122" spans="1:52" ht="34.950000000000003" customHeight="1" thickBot="1">
      <c r="A122" s="509"/>
      <c r="B122" s="537"/>
      <c r="C122" s="509">
        <v>36</v>
      </c>
      <c r="D122" s="530" t="s">
        <v>75</v>
      </c>
      <c r="E122" s="533" t="s">
        <v>76</v>
      </c>
      <c r="F122" s="522"/>
      <c r="G122" s="522"/>
      <c r="H122" s="509"/>
      <c r="I122" s="522"/>
      <c r="J122" s="509"/>
      <c r="K122" s="57" t="s">
        <v>13</v>
      </c>
      <c r="L122" s="57">
        <f>SUM(L119:L121)</f>
        <v>1925701325.8987341</v>
      </c>
      <c r="M122" s="57">
        <f>SUM(M119:M121)</f>
        <v>711022437.51898742</v>
      </c>
      <c r="N122" s="57">
        <f>SUM(L122:M122)</f>
        <v>2636723763.4177217</v>
      </c>
      <c r="O122" s="244" t="s">
        <v>13</v>
      </c>
      <c r="P122" s="244">
        <f>SUM(P119:P121)</f>
        <v>2462611217.670886</v>
      </c>
      <c r="Q122" s="244">
        <f>SUM(Q119:Q121)</f>
        <v>2130087132.5063291</v>
      </c>
      <c r="R122" s="244">
        <f>SUM(P122:Q122)</f>
        <v>4592698350.1772156</v>
      </c>
      <c r="S122" s="245" t="s">
        <v>13</v>
      </c>
      <c r="T122" s="586"/>
      <c r="U122" s="587"/>
      <c r="V122" s="588"/>
      <c r="W122" s="246" t="s">
        <v>13</v>
      </c>
      <c r="X122" s="579"/>
      <c r="Y122" s="580"/>
      <c r="Z122" s="581"/>
      <c r="AA122" s="57" t="s">
        <v>18</v>
      </c>
      <c r="AB122" s="591"/>
      <c r="AC122" s="592"/>
      <c r="AD122" s="593"/>
      <c r="AE122" s="244" t="s">
        <v>18</v>
      </c>
      <c r="AF122" s="510"/>
      <c r="AG122" s="511"/>
      <c r="AH122" s="512"/>
      <c r="AI122" s="245" t="s">
        <v>18</v>
      </c>
      <c r="AJ122" s="586"/>
      <c r="AK122" s="587"/>
      <c r="AL122" s="588"/>
      <c r="AM122" s="246" t="s">
        <v>18</v>
      </c>
      <c r="AN122" s="579"/>
      <c r="AO122" s="580"/>
      <c r="AP122" s="581"/>
      <c r="AQ122" s="3"/>
      <c r="AR122" s="3"/>
      <c r="AS122" s="3"/>
      <c r="AT122" s="3"/>
      <c r="AU122" s="3"/>
      <c r="AV122" s="3"/>
      <c r="AW122" s="3"/>
      <c r="AX122" s="3"/>
      <c r="AY122" s="3"/>
      <c r="AZ122" s="3"/>
    </row>
    <row r="123" spans="1:52" ht="34.950000000000003" customHeight="1">
      <c r="A123" s="3"/>
      <c r="B123" s="3"/>
      <c r="C123" s="3"/>
      <c r="D123" s="3"/>
      <c r="E123" s="4"/>
      <c r="F123" s="4"/>
      <c r="G123" s="4"/>
      <c r="H123" s="3"/>
      <c r="I123" s="4"/>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row>
    <row r="124" spans="1:52" ht="34.950000000000003" customHeight="1">
      <c r="A124" s="3"/>
      <c r="B124" s="3"/>
      <c r="C124" s="3"/>
      <c r="D124" s="3"/>
      <c r="E124" s="4"/>
      <c r="F124" s="4"/>
      <c r="G124" s="4"/>
      <c r="H124" s="3"/>
      <c r="I124" s="4"/>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row>
    <row r="125" spans="1:52" ht="34.950000000000003" customHeight="1">
      <c r="A125" s="3"/>
      <c r="B125" s="3"/>
      <c r="C125" s="3"/>
      <c r="D125" s="3"/>
      <c r="E125" s="4"/>
      <c r="F125" s="4"/>
      <c r="G125" s="4"/>
      <c r="H125" s="3"/>
      <c r="I125" s="4"/>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row>
    <row r="126" spans="1:52" ht="34.950000000000003" customHeight="1">
      <c r="A126" s="3"/>
      <c r="B126" s="3"/>
      <c r="C126" s="3"/>
      <c r="D126" s="3"/>
      <c r="E126" s="4"/>
      <c r="F126" s="4"/>
      <c r="G126" s="4"/>
      <c r="H126" s="3"/>
      <c r="I126" s="4"/>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row>
    <row r="127" spans="1:52" ht="34.950000000000003" customHeight="1">
      <c r="A127" s="3"/>
      <c r="B127" s="3"/>
      <c r="C127" s="3"/>
      <c r="D127" s="3"/>
      <c r="E127" s="4"/>
      <c r="F127" s="4"/>
      <c r="G127" s="4"/>
      <c r="H127" s="3"/>
      <c r="I127" s="4"/>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row>
    <row r="128" spans="1:52" ht="34.950000000000003" customHeight="1">
      <c r="A128" s="3"/>
      <c r="B128" s="3"/>
      <c r="C128" s="3"/>
      <c r="D128" s="3"/>
      <c r="E128" s="4"/>
      <c r="F128" s="4"/>
      <c r="G128" s="4"/>
      <c r="H128" s="3"/>
      <c r="I128" s="4"/>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row>
  </sheetData>
  <mergeCells count="435">
    <mergeCell ref="P99:R102"/>
    <mergeCell ref="L99:M101"/>
    <mergeCell ref="T54:V57"/>
    <mergeCell ref="X54:Z57"/>
    <mergeCell ref="AF54:AH57"/>
    <mergeCell ref="AJ54:AL57"/>
    <mergeCell ref="AN54:AP57"/>
    <mergeCell ref="AN59:AP62"/>
    <mergeCell ref="AB54:AD57"/>
    <mergeCell ref="AN94:AP97"/>
    <mergeCell ref="AJ94:AL97"/>
    <mergeCell ref="T94:V97"/>
    <mergeCell ref="P94:R97"/>
    <mergeCell ref="T84:V87"/>
    <mergeCell ref="P84:R87"/>
    <mergeCell ref="L89:M91"/>
    <mergeCell ref="P89:R92"/>
    <mergeCell ref="T89:V92"/>
    <mergeCell ref="AN64:AP67"/>
    <mergeCell ref="L94:M96"/>
    <mergeCell ref="P74:R77"/>
    <mergeCell ref="L84:M86"/>
    <mergeCell ref="AB39:AD42"/>
    <mergeCell ref="AB44:AD47"/>
    <mergeCell ref="AF44:AH47"/>
    <mergeCell ref="T99:V102"/>
    <mergeCell ref="X99:Z102"/>
    <mergeCell ref="AB99:AD102"/>
    <mergeCell ref="AF99:AH102"/>
    <mergeCell ref="AJ99:AL102"/>
    <mergeCell ref="AN99:AP102"/>
    <mergeCell ref="AF49:AH52"/>
    <mergeCell ref="AJ49:AL52"/>
    <mergeCell ref="AN49:AP52"/>
    <mergeCell ref="X39:Z42"/>
    <mergeCell ref="T39:V42"/>
    <mergeCell ref="AF74:AH77"/>
    <mergeCell ref="X74:Z77"/>
    <mergeCell ref="T74:V77"/>
    <mergeCell ref="AB69:AD72"/>
    <mergeCell ref="AB74:AD77"/>
    <mergeCell ref="AF89:AH92"/>
    <mergeCell ref="X79:Z82"/>
    <mergeCell ref="AF79:AH82"/>
    <mergeCell ref="AN79:AP82"/>
    <mergeCell ref="AB79:AD82"/>
    <mergeCell ref="AB49:AD52"/>
    <mergeCell ref="AN114:AP117"/>
    <mergeCell ref="AJ114:AL117"/>
    <mergeCell ref="AF114:AH117"/>
    <mergeCell ref="AB114:AD117"/>
    <mergeCell ref="X114:Z117"/>
    <mergeCell ref="AJ89:AL92"/>
    <mergeCell ref="AB84:AC87"/>
    <mergeCell ref="AB89:AC92"/>
    <mergeCell ref="AN89:AP92"/>
    <mergeCell ref="AF94:AH97"/>
    <mergeCell ref="X94:Z97"/>
    <mergeCell ref="AN84:AP87"/>
    <mergeCell ref="AJ84:AL87"/>
    <mergeCell ref="AF84:AH87"/>
    <mergeCell ref="AB94:AD97"/>
    <mergeCell ref="X89:Z92"/>
    <mergeCell ref="X84:Z87"/>
    <mergeCell ref="AN69:AP72"/>
    <mergeCell ref="AN74:AP77"/>
    <mergeCell ref="AJ74:AL77"/>
    <mergeCell ref="P114:R117"/>
    <mergeCell ref="T119:V122"/>
    <mergeCell ref="X119:Z122"/>
    <mergeCell ref="AB119:AD122"/>
    <mergeCell ref="AF119:AH122"/>
    <mergeCell ref="AJ119:AL122"/>
    <mergeCell ref="AN119:AP122"/>
    <mergeCell ref="L104:M106"/>
    <mergeCell ref="P104:Q106"/>
    <mergeCell ref="T104:V107"/>
    <mergeCell ref="X104:Z107"/>
    <mergeCell ref="AJ104:AL107"/>
    <mergeCell ref="AN104:AP107"/>
    <mergeCell ref="L109:M111"/>
    <mergeCell ref="P109:R112"/>
    <mergeCell ref="T109:V112"/>
    <mergeCell ref="X109:Z112"/>
    <mergeCell ref="AB109:AC111"/>
    <mergeCell ref="AF109:AH112"/>
    <mergeCell ref="AJ109:AL112"/>
    <mergeCell ref="AN109:AP112"/>
    <mergeCell ref="T114:V117"/>
    <mergeCell ref="AB104:AC106"/>
    <mergeCell ref="AF104:AG106"/>
    <mergeCell ref="T44:V47"/>
    <mergeCell ref="X44:Z47"/>
    <mergeCell ref="AF39:AH42"/>
    <mergeCell ref="AJ44:AL47"/>
    <mergeCell ref="AN39:AP42"/>
    <mergeCell ref="AJ39:AL42"/>
    <mergeCell ref="T79:V82"/>
    <mergeCell ref="X64:Z67"/>
    <mergeCell ref="AF64:AH67"/>
    <mergeCell ref="AJ64:AL67"/>
    <mergeCell ref="AJ59:AL62"/>
    <mergeCell ref="AF59:AH62"/>
    <mergeCell ref="X59:Z62"/>
    <mergeCell ref="T59:V62"/>
    <mergeCell ref="AB59:AD62"/>
    <mergeCell ref="AB64:AD67"/>
    <mergeCell ref="AJ79:AL82"/>
    <mergeCell ref="T69:V72"/>
    <mergeCell ref="X69:Z72"/>
    <mergeCell ref="AF69:AH72"/>
    <mergeCell ref="AJ69:AL72"/>
    <mergeCell ref="X49:Z52"/>
    <mergeCell ref="AN44:AP47"/>
    <mergeCell ref="T49:V52"/>
    <mergeCell ref="I23:I27"/>
    <mergeCell ref="J23:J27"/>
    <mergeCell ref="AN34:AP37"/>
    <mergeCell ref="L24:M26"/>
    <mergeCell ref="L29:M31"/>
    <mergeCell ref="P29:R32"/>
    <mergeCell ref="T29:V32"/>
    <mergeCell ref="X29:Z32"/>
    <mergeCell ref="AB29:AD32"/>
    <mergeCell ref="AF29:AH32"/>
    <mergeCell ref="AJ29:AL32"/>
    <mergeCell ref="AN24:AP27"/>
    <mergeCell ref="AJ24:AL27"/>
    <mergeCell ref="AF24:AH27"/>
    <mergeCell ref="X24:Z27"/>
    <mergeCell ref="T24:V27"/>
    <mergeCell ref="P24:R27"/>
    <mergeCell ref="L34:M36"/>
    <mergeCell ref="P34:R37"/>
    <mergeCell ref="I33:I37"/>
    <mergeCell ref="J33:J37"/>
    <mergeCell ref="AB24:AD27"/>
    <mergeCell ref="AB34:AD37"/>
    <mergeCell ref="AN29:AP32"/>
    <mergeCell ref="G3:G7"/>
    <mergeCell ref="H3:H7"/>
    <mergeCell ref="T19:V22"/>
    <mergeCell ref="T14:V17"/>
    <mergeCell ref="AJ4:AL7"/>
    <mergeCell ref="I3:I7"/>
    <mergeCell ref="J3:J7"/>
    <mergeCell ref="I8:I12"/>
    <mergeCell ref="J8:J12"/>
    <mergeCell ref="X14:Z17"/>
    <mergeCell ref="AJ14:AL17"/>
    <mergeCell ref="AF14:AH17"/>
    <mergeCell ref="AB4:AD7"/>
    <mergeCell ref="AB9:AD12"/>
    <mergeCell ref="AB14:AD17"/>
    <mergeCell ref="AJ19:AL22"/>
    <mergeCell ref="T9:V12"/>
    <mergeCell ref="X9:Z12"/>
    <mergeCell ref="AJ9:AL12"/>
    <mergeCell ref="X19:Z22"/>
    <mergeCell ref="AB19:AD22"/>
    <mergeCell ref="AF19:AH22"/>
    <mergeCell ref="AN9:AP12"/>
    <mergeCell ref="L19:M21"/>
    <mergeCell ref="AN14:AP17"/>
    <mergeCell ref="L11:M11"/>
    <mergeCell ref="P11:Q11"/>
    <mergeCell ref="P4:R7"/>
    <mergeCell ref="L16:M16"/>
    <mergeCell ref="P16:Q16"/>
    <mergeCell ref="AF9:AH12"/>
    <mergeCell ref="AN19:AP22"/>
    <mergeCell ref="AM2:AP2"/>
    <mergeCell ref="W2:Z2"/>
    <mergeCell ref="AI2:AL2"/>
    <mergeCell ref="AE2:AH2"/>
    <mergeCell ref="AA2:AD2"/>
    <mergeCell ref="K2:N2"/>
    <mergeCell ref="O2:R2"/>
    <mergeCell ref="S2:V2"/>
    <mergeCell ref="X4:Z7"/>
    <mergeCell ref="AF4:AH7"/>
    <mergeCell ref="AN4:AP7"/>
    <mergeCell ref="A33:A37"/>
    <mergeCell ref="F13:F17"/>
    <mergeCell ref="G13:G17"/>
    <mergeCell ref="H13:H17"/>
    <mergeCell ref="I13:I17"/>
    <mergeCell ref="J13:J17"/>
    <mergeCell ref="A13:A17"/>
    <mergeCell ref="B13:B17"/>
    <mergeCell ref="B33:B37"/>
    <mergeCell ref="C33:C37"/>
    <mergeCell ref="D33:D37"/>
    <mergeCell ref="E33:E37"/>
    <mergeCell ref="A18:A22"/>
    <mergeCell ref="B18:B22"/>
    <mergeCell ref="C18:C22"/>
    <mergeCell ref="D18:D22"/>
    <mergeCell ref="E18:E22"/>
    <mergeCell ref="F18:F22"/>
    <mergeCell ref="G18:G22"/>
    <mergeCell ref="H18:H22"/>
    <mergeCell ref="I18:I22"/>
    <mergeCell ref="F23:F27"/>
    <mergeCell ref="G23:G27"/>
    <mergeCell ref="H23:H27"/>
    <mergeCell ref="G38:G42"/>
    <mergeCell ref="H38:H42"/>
    <mergeCell ref="I38:I42"/>
    <mergeCell ref="AJ34:AL37"/>
    <mergeCell ref="A23:A27"/>
    <mergeCell ref="B23:B27"/>
    <mergeCell ref="C23:C27"/>
    <mergeCell ref="D23:D27"/>
    <mergeCell ref="A28:A32"/>
    <mergeCell ref="B28:B32"/>
    <mergeCell ref="C28:C32"/>
    <mergeCell ref="D28:D32"/>
    <mergeCell ref="E28:E32"/>
    <mergeCell ref="F28:F32"/>
    <mergeCell ref="G28:G32"/>
    <mergeCell ref="H28:H32"/>
    <mergeCell ref="I28:I32"/>
    <mergeCell ref="E23:E27"/>
    <mergeCell ref="T34:V37"/>
    <mergeCell ref="X34:Z37"/>
    <mergeCell ref="AF34:AH37"/>
    <mergeCell ref="F33:F37"/>
    <mergeCell ref="G33:G37"/>
    <mergeCell ref="H33:H37"/>
    <mergeCell ref="A38:A42"/>
    <mergeCell ref="B38:B42"/>
    <mergeCell ref="C38:C42"/>
    <mergeCell ref="D38:D42"/>
    <mergeCell ref="E38:E42"/>
    <mergeCell ref="F48:F52"/>
    <mergeCell ref="G48:G52"/>
    <mergeCell ref="H48:H52"/>
    <mergeCell ref="I48:I52"/>
    <mergeCell ref="F43:F47"/>
    <mergeCell ref="G43:G47"/>
    <mergeCell ref="H43:H47"/>
    <mergeCell ref="I43:I47"/>
    <mergeCell ref="A48:A52"/>
    <mergeCell ref="B48:B52"/>
    <mergeCell ref="C48:C52"/>
    <mergeCell ref="D48:D52"/>
    <mergeCell ref="E48:E52"/>
    <mergeCell ref="A43:A47"/>
    <mergeCell ref="B43:B47"/>
    <mergeCell ref="C43:C47"/>
    <mergeCell ref="D43:D47"/>
    <mergeCell ref="E43:E47"/>
    <mergeCell ref="F38:F42"/>
    <mergeCell ref="F53:F57"/>
    <mergeCell ref="G53:G57"/>
    <mergeCell ref="H53:H57"/>
    <mergeCell ref="I53:I57"/>
    <mergeCell ref="J53:J57"/>
    <mergeCell ref="A53:A57"/>
    <mergeCell ref="B53:B57"/>
    <mergeCell ref="C53:C57"/>
    <mergeCell ref="D53:D57"/>
    <mergeCell ref="E53:E57"/>
    <mergeCell ref="A58:A62"/>
    <mergeCell ref="B58:B62"/>
    <mergeCell ref="C58:C62"/>
    <mergeCell ref="D58:D62"/>
    <mergeCell ref="E58:E62"/>
    <mergeCell ref="F58:F62"/>
    <mergeCell ref="G58:G62"/>
    <mergeCell ref="H58:H62"/>
    <mergeCell ref="I58:I62"/>
    <mergeCell ref="B63:B67"/>
    <mergeCell ref="C63:C67"/>
    <mergeCell ref="D63:D67"/>
    <mergeCell ref="E63:E67"/>
    <mergeCell ref="A68:A72"/>
    <mergeCell ref="B68:B72"/>
    <mergeCell ref="C68:C72"/>
    <mergeCell ref="D68:D72"/>
    <mergeCell ref="E68:E72"/>
    <mergeCell ref="F68:F72"/>
    <mergeCell ref="G68:G72"/>
    <mergeCell ref="H68:H72"/>
    <mergeCell ref="I68:I72"/>
    <mergeCell ref="L69:M71"/>
    <mergeCell ref="L64:M66"/>
    <mergeCell ref="P64:R67"/>
    <mergeCell ref="T64:V67"/>
    <mergeCell ref="A78:A82"/>
    <mergeCell ref="B78:B82"/>
    <mergeCell ref="C78:C82"/>
    <mergeCell ref="D78:D82"/>
    <mergeCell ref="E78:E82"/>
    <mergeCell ref="F73:F77"/>
    <mergeCell ref="G73:G77"/>
    <mergeCell ref="H73:H77"/>
    <mergeCell ref="I73:I77"/>
    <mergeCell ref="A73:A77"/>
    <mergeCell ref="B73:B77"/>
    <mergeCell ref="C73:C77"/>
    <mergeCell ref="D73:D77"/>
    <mergeCell ref="E73:E77"/>
    <mergeCell ref="J68:J72"/>
    <mergeCell ref="A63:A67"/>
    <mergeCell ref="A83:A87"/>
    <mergeCell ref="B83:B87"/>
    <mergeCell ref="C83:C87"/>
    <mergeCell ref="D83:D87"/>
    <mergeCell ref="E83:E87"/>
    <mergeCell ref="F83:F87"/>
    <mergeCell ref="G83:G87"/>
    <mergeCell ref="H83:H87"/>
    <mergeCell ref="I83:I87"/>
    <mergeCell ref="F88:F92"/>
    <mergeCell ref="G88:G92"/>
    <mergeCell ref="H88:H92"/>
    <mergeCell ref="I88:I92"/>
    <mergeCell ref="J88:J92"/>
    <mergeCell ref="A88:A92"/>
    <mergeCell ref="B88:B92"/>
    <mergeCell ref="C88:C92"/>
    <mergeCell ref="D88:D92"/>
    <mergeCell ref="E88:E92"/>
    <mergeCell ref="H103:H107"/>
    <mergeCell ref="I103:I107"/>
    <mergeCell ref="J103:J107"/>
    <mergeCell ref="A103:A107"/>
    <mergeCell ref="B103:B107"/>
    <mergeCell ref="A93:A97"/>
    <mergeCell ref="E103:E107"/>
    <mergeCell ref="J93:J97"/>
    <mergeCell ref="B93:B97"/>
    <mergeCell ref="C93:C97"/>
    <mergeCell ref="D93:D97"/>
    <mergeCell ref="E93:E97"/>
    <mergeCell ref="A98:A102"/>
    <mergeCell ref="B98:B102"/>
    <mergeCell ref="C98:C102"/>
    <mergeCell ref="D98:D102"/>
    <mergeCell ref="E98:E102"/>
    <mergeCell ref="F98:F102"/>
    <mergeCell ref="G98:G102"/>
    <mergeCell ref="H98:H102"/>
    <mergeCell ref="I98:I102"/>
    <mergeCell ref="J98:J102"/>
    <mergeCell ref="A113:A117"/>
    <mergeCell ref="B113:B117"/>
    <mergeCell ref="E113:E117"/>
    <mergeCell ref="C113:C117"/>
    <mergeCell ref="D113:D117"/>
    <mergeCell ref="A108:A112"/>
    <mergeCell ref="B108:B112"/>
    <mergeCell ref="C108:C112"/>
    <mergeCell ref="D108:D112"/>
    <mergeCell ref="E108:E112"/>
    <mergeCell ref="A118:A122"/>
    <mergeCell ref="B118:B122"/>
    <mergeCell ref="C118:C122"/>
    <mergeCell ref="D118:D122"/>
    <mergeCell ref="E118:E122"/>
    <mergeCell ref="F118:F122"/>
    <mergeCell ref="G118:G122"/>
    <mergeCell ref="H118:H122"/>
    <mergeCell ref="I118:I122"/>
    <mergeCell ref="A8:A12"/>
    <mergeCell ref="D13:D17"/>
    <mergeCell ref="A3:A7"/>
    <mergeCell ref="B3:B7"/>
    <mergeCell ref="C3:C7"/>
    <mergeCell ref="D3:D7"/>
    <mergeCell ref="E3:E7"/>
    <mergeCell ref="F93:F97"/>
    <mergeCell ref="I93:I97"/>
    <mergeCell ref="E13:E17"/>
    <mergeCell ref="B8:B12"/>
    <mergeCell ref="C8:C12"/>
    <mergeCell ref="D8:D12"/>
    <mergeCell ref="E8:E12"/>
    <mergeCell ref="F8:F12"/>
    <mergeCell ref="G8:G12"/>
    <mergeCell ref="H8:H12"/>
    <mergeCell ref="C13:C17"/>
    <mergeCell ref="F78:F82"/>
    <mergeCell ref="G78:G82"/>
    <mergeCell ref="H78:H82"/>
    <mergeCell ref="I78:I82"/>
    <mergeCell ref="F63:F67"/>
    <mergeCell ref="G63:G67"/>
    <mergeCell ref="F3:F7"/>
    <mergeCell ref="J118:J122"/>
    <mergeCell ref="F113:F117"/>
    <mergeCell ref="G113:G117"/>
    <mergeCell ref="H113:H117"/>
    <mergeCell ref="G93:G97"/>
    <mergeCell ref="H93:H97"/>
    <mergeCell ref="C103:C107"/>
    <mergeCell ref="D103:D107"/>
    <mergeCell ref="H63:H67"/>
    <mergeCell ref="I63:I67"/>
    <mergeCell ref="I113:I117"/>
    <mergeCell ref="J113:J117"/>
    <mergeCell ref="F108:F112"/>
    <mergeCell ref="G108:G112"/>
    <mergeCell ref="H108:H112"/>
    <mergeCell ref="I108:I112"/>
    <mergeCell ref="J108:J112"/>
    <mergeCell ref="F103:F107"/>
    <mergeCell ref="G103:G107"/>
    <mergeCell ref="J38:J42"/>
    <mergeCell ref="J83:J87"/>
    <mergeCell ref="J78:J82"/>
    <mergeCell ref="J63:J67"/>
    <mergeCell ref="J73:J77"/>
    <mergeCell ref="L74:M76"/>
    <mergeCell ref="L79:M81"/>
    <mergeCell ref="P79:R82"/>
    <mergeCell ref="L54:M56"/>
    <mergeCell ref="P54:R57"/>
    <mergeCell ref="J18:J22"/>
    <mergeCell ref="L49:M51"/>
    <mergeCell ref="P49:R52"/>
    <mergeCell ref="P59:R62"/>
    <mergeCell ref="L59:M61"/>
    <mergeCell ref="P19:R22"/>
    <mergeCell ref="J43:J47"/>
    <mergeCell ref="J58:J62"/>
    <mergeCell ref="J48:J52"/>
    <mergeCell ref="P39:R42"/>
    <mergeCell ref="L39:M41"/>
    <mergeCell ref="J28:J32"/>
    <mergeCell ref="L44:M46"/>
    <mergeCell ref="P44:R47"/>
    <mergeCell ref="P69:R72"/>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ED4D0-4D36-F845-8413-66CB8734DC91}">
  <dimension ref="A1:R134"/>
  <sheetViews>
    <sheetView topLeftCell="A29" zoomScale="80" zoomScaleNormal="80" workbookViewId="0">
      <selection activeCell="B39" sqref="B39"/>
    </sheetView>
  </sheetViews>
  <sheetFormatPr defaultColWidth="10.796875" defaultRowHeight="15.6"/>
  <cols>
    <col min="1" max="1" width="28.19921875" style="23" customWidth="1"/>
    <col min="2" max="2" width="34.296875" style="23" customWidth="1"/>
    <col min="3" max="3" width="28.69921875" style="23" customWidth="1"/>
    <col min="4" max="4" width="22.19921875" style="23" customWidth="1"/>
    <col min="5" max="5" width="24.69921875" style="23" customWidth="1"/>
    <col min="6" max="6" width="28.296875" style="23" customWidth="1"/>
    <col min="7" max="7" width="29.796875" style="23" customWidth="1"/>
    <col min="8" max="8" width="20.69921875" style="23" customWidth="1"/>
    <col min="9" max="9" width="25.296875" style="23" customWidth="1"/>
    <col min="10" max="10" width="21.796875" style="23" customWidth="1"/>
    <col min="11" max="11" width="23.19921875" style="23" customWidth="1"/>
    <col min="12" max="12" width="17" style="23" customWidth="1"/>
    <col min="13" max="13" width="24" style="23" customWidth="1"/>
    <col min="14" max="14" width="15.69921875" style="23" customWidth="1"/>
    <col min="15" max="15" width="19" style="23" customWidth="1"/>
    <col min="16" max="16" width="17.19921875" style="23" customWidth="1"/>
    <col min="17" max="17" width="14.5" style="23" customWidth="1"/>
    <col min="18" max="18" width="17.69921875" style="23" customWidth="1"/>
    <col min="19" max="16384" width="10.796875" style="23"/>
  </cols>
  <sheetData>
    <row r="1" spans="1:18" ht="16.05" customHeight="1"/>
    <row r="2" spans="1:18" ht="16.05" customHeight="1">
      <c r="A2" s="627" t="s">
        <v>155</v>
      </c>
      <c r="B2" s="627"/>
      <c r="C2" s="627"/>
      <c r="D2" s="3"/>
      <c r="E2" s="635" t="s">
        <v>155</v>
      </c>
      <c r="F2" s="635"/>
      <c r="G2" s="635"/>
      <c r="I2" s="652" t="s">
        <v>435</v>
      </c>
      <c r="J2" s="652"/>
      <c r="K2" s="652"/>
      <c r="M2" s="652" t="s">
        <v>435</v>
      </c>
      <c r="N2" s="652"/>
      <c r="O2" s="652"/>
    </row>
    <row r="3" spans="1:18" ht="16.95" customHeight="1">
      <c r="A3" s="627"/>
      <c r="B3" s="627" t="s">
        <v>387</v>
      </c>
      <c r="C3" s="627"/>
      <c r="D3" s="3"/>
      <c r="E3" s="635"/>
      <c r="F3" s="635" t="s">
        <v>346</v>
      </c>
      <c r="G3" s="635"/>
      <c r="I3" s="652"/>
      <c r="J3" s="652" t="s">
        <v>474</v>
      </c>
      <c r="K3" s="652"/>
      <c r="M3" s="652"/>
      <c r="N3" s="652" t="s">
        <v>475</v>
      </c>
      <c r="O3" s="652"/>
    </row>
    <row r="4" spans="1:18">
      <c r="A4" s="627"/>
      <c r="B4" s="118" t="s">
        <v>151</v>
      </c>
      <c r="C4" s="118" t="s">
        <v>152</v>
      </c>
      <c r="D4" s="3"/>
      <c r="E4" s="635"/>
      <c r="F4" s="162" t="s">
        <v>151</v>
      </c>
      <c r="G4" s="162" t="s">
        <v>152</v>
      </c>
      <c r="I4" s="652"/>
      <c r="J4" s="90" t="s">
        <v>9</v>
      </c>
      <c r="K4" s="90" t="s">
        <v>10</v>
      </c>
      <c r="M4" s="652"/>
      <c r="N4" s="90" t="s">
        <v>9</v>
      </c>
      <c r="O4" s="90" t="s">
        <v>10</v>
      </c>
    </row>
    <row r="5" spans="1:18" ht="25.05" customHeight="1">
      <c r="A5" s="214" t="s">
        <v>349</v>
      </c>
      <c r="B5" s="151">
        <f>9388*1000</f>
        <v>9388000</v>
      </c>
      <c r="C5" s="151">
        <f>5976*1000</f>
        <v>5976000</v>
      </c>
      <c r="D5" s="34"/>
      <c r="E5" s="213" t="s">
        <v>349</v>
      </c>
      <c r="F5" s="161">
        <f>174066*1000</f>
        <v>174066000</v>
      </c>
      <c r="G5" s="161">
        <f>166790*1000</f>
        <v>166790000</v>
      </c>
      <c r="I5" s="212" t="s">
        <v>349</v>
      </c>
      <c r="J5" s="200">
        <v>38</v>
      </c>
      <c r="K5" s="200">
        <v>27</v>
      </c>
      <c r="M5" s="212" t="s">
        <v>349</v>
      </c>
      <c r="N5" s="200">
        <v>254253</v>
      </c>
      <c r="O5" s="200">
        <v>277983</v>
      </c>
    </row>
    <row r="6" spans="1:18" ht="25.05" customHeight="1">
      <c r="A6" s="118" t="s">
        <v>350</v>
      </c>
      <c r="B6" s="151">
        <f>126582*1000</f>
        <v>126582000</v>
      </c>
      <c r="C6" s="151">
        <f>62400*1000</f>
        <v>62400000</v>
      </c>
      <c r="D6" s="34"/>
      <c r="E6" s="162" t="s">
        <v>350</v>
      </c>
      <c r="F6" s="161">
        <f>628716*1000</f>
        <v>628716000</v>
      </c>
      <c r="G6" s="161">
        <f>612955*1000</f>
        <v>612955000</v>
      </c>
      <c r="I6" s="172" t="s">
        <v>350</v>
      </c>
      <c r="J6" s="200">
        <v>123</v>
      </c>
      <c r="K6" s="200">
        <v>80</v>
      </c>
      <c r="M6" s="172" t="s">
        <v>350</v>
      </c>
      <c r="N6" s="200">
        <v>314358</v>
      </c>
      <c r="O6" s="200">
        <v>379448</v>
      </c>
    </row>
    <row r="7" spans="1:18" ht="25.05" customHeight="1">
      <c r="A7" s="118" t="s">
        <v>351</v>
      </c>
      <c r="B7" s="151">
        <f>349046*1000</f>
        <v>349046000</v>
      </c>
      <c r="C7" s="151">
        <f>144426*1000</f>
        <v>144426000</v>
      </c>
      <c r="D7" s="34"/>
      <c r="E7" s="162" t="s">
        <v>351</v>
      </c>
      <c r="F7" s="161">
        <f>734079*1000</f>
        <v>734079000</v>
      </c>
      <c r="G7" s="161">
        <f>682768*1000</f>
        <v>682768000</v>
      </c>
      <c r="I7" s="172" t="s">
        <v>351</v>
      </c>
      <c r="J7" s="200">
        <v>279</v>
      </c>
      <c r="K7" s="200">
        <v>173</v>
      </c>
      <c r="M7" s="172" t="s">
        <v>351</v>
      </c>
      <c r="N7" s="200">
        <v>272658</v>
      </c>
      <c r="O7" s="200">
        <v>341384</v>
      </c>
    </row>
    <row r="8" spans="1:18" ht="25.05" customHeight="1">
      <c r="A8" s="131" t="s">
        <v>352</v>
      </c>
      <c r="B8" s="131">
        <f>778445*1000</f>
        <v>778445000</v>
      </c>
      <c r="C8" s="131">
        <f>310637*1000</f>
        <v>310637000</v>
      </c>
      <c r="E8" s="160" t="s">
        <v>352</v>
      </c>
      <c r="F8" s="160">
        <f>713590*1000</f>
        <v>713590000</v>
      </c>
      <c r="G8" s="160">
        <f>590569*1000</f>
        <v>590569000</v>
      </c>
      <c r="I8" s="90" t="s">
        <v>352</v>
      </c>
      <c r="J8" s="200">
        <v>713</v>
      </c>
      <c r="K8" s="200">
        <v>445</v>
      </c>
      <c r="M8" s="90" t="s">
        <v>352</v>
      </c>
      <c r="N8" s="200">
        <v>229905</v>
      </c>
      <c r="O8" s="200">
        <v>273217</v>
      </c>
    </row>
    <row r="9" spans="1:18" ht="25.05" customHeight="1">
      <c r="A9" s="131" t="s">
        <v>353</v>
      </c>
      <c r="B9" s="131">
        <f>876047*1000</f>
        <v>876047000</v>
      </c>
      <c r="C9" s="131">
        <f>276255*1000</f>
        <v>276255000</v>
      </c>
      <c r="E9" s="160" t="s">
        <v>353</v>
      </c>
      <c r="F9" s="160">
        <f>493706*1000</f>
        <v>493706000</v>
      </c>
      <c r="G9" s="160">
        <f>336846*1000</f>
        <v>336846000</v>
      </c>
      <c r="I9" s="90" t="s">
        <v>353</v>
      </c>
      <c r="J9" s="200">
        <v>2035</v>
      </c>
      <c r="K9" s="200">
        <v>1192</v>
      </c>
      <c r="M9" s="90" t="s">
        <v>353</v>
      </c>
      <c r="N9" s="200">
        <v>191017</v>
      </c>
      <c r="O9" s="200">
        <v>202263</v>
      </c>
    </row>
    <row r="10" spans="1:18" ht="25.05" customHeight="1">
      <c r="A10" s="131" t="s">
        <v>411</v>
      </c>
      <c r="B10" s="131">
        <f>98823*1000</f>
        <v>98823000</v>
      </c>
      <c r="C10" s="131">
        <f>26760*1000</f>
        <v>26760000</v>
      </c>
      <c r="E10" s="160" t="s">
        <v>411</v>
      </c>
      <c r="F10" s="160">
        <f>118249*1000</f>
        <v>118249000</v>
      </c>
      <c r="G10" s="160">
        <f>85970*1000</f>
        <v>85970000</v>
      </c>
      <c r="I10" s="90" t="s">
        <v>411</v>
      </c>
      <c r="J10" s="200">
        <v>1205</v>
      </c>
      <c r="K10" s="200">
        <v>702</v>
      </c>
      <c r="M10" s="90" t="s">
        <v>411</v>
      </c>
      <c r="N10" s="200">
        <v>63522</v>
      </c>
      <c r="O10" s="200">
        <v>63142</v>
      </c>
    </row>
    <row r="14" spans="1:18">
      <c r="A14" s="231"/>
      <c r="B14" s="231"/>
      <c r="C14" s="231"/>
      <c r="D14" s="231"/>
      <c r="E14" s="231"/>
      <c r="F14" s="231"/>
      <c r="G14" s="231"/>
      <c r="H14" s="231"/>
      <c r="I14" s="231"/>
      <c r="J14" s="231"/>
      <c r="K14" s="231"/>
      <c r="L14" s="231"/>
      <c r="M14" s="231"/>
      <c r="N14" s="231"/>
      <c r="O14" s="231"/>
      <c r="P14" s="231"/>
      <c r="Q14" s="231"/>
      <c r="R14" s="231"/>
    </row>
    <row r="15" spans="1:18">
      <c r="A15" s="612" t="s">
        <v>437</v>
      </c>
      <c r="B15" s="612"/>
      <c r="C15" s="612"/>
      <c r="D15" s="612"/>
      <c r="E15" s="612"/>
      <c r="F15" s="612"/>
      <c r="G15" s="612"/>
      <c r="H15" s="612"/>
      <c r="I15" s="612"/>
      <c r="J15" s="636" t="s">
        <v>436</v>
      </c>
      <c r="K15" s="636"/>
      <c r="L15" s="636"/>
      <c r="M15" s="636"/>
      <c r="N15" s="636"/>
      <c r="O15" s="636"/>
      <c r="P15" s="636"/>
      <c r="Q15" s="636"/>
      <c r="R15" s="636"/>
    </row>
    <row r="16" spans="1:18" ht="46.8">
      <c r="A16" s="131" t="s">
        <v>125</v>
      </c>
      <c r="B16" s="131" t="s">
        <v>115</v>
      </c>
      <c r="C16" s="131" t="s">
        <v>9</v>
      </c>
      <c r="D16" s="131" t="s">
        <v>10</v>
      </c>
      <c r="E16" s="131"/>
      <c r="F16" s="131" t="s">
        <v>127</v>
      </c>
      <c r="G16" s="131" t="s">
        <v>115</v>
      </c>
      <c r="H16" s="131" t="s">
        <v>9</v>
      </c>
      <c r="I16" s="131" t="s">
        <v>10</v>
      </c>
      <c r="J16" s="160" t="s">
        <v>125</v>
      </c>
      <c r="K16" s="160" t="s">
        <v>115</v>
      </c>
      <c r="L16" s="160" t="s">
        <v>9</v>
      </c>
      <c r="M16" s="160" t="s">
        <v>10</v>
      </c>
      <c r="N16" s="160"/>
      <c r="O16" s="160" t="s">
        <v>127</v>
      </c>
      <c r="P16" s="160" t="s">
        <v>115</v>
      </c>
      <c r="Q16" s="160" t="s">
        <v>9</v>
      </c>
      <c r="R16" s="160" t="s">
        <v>10</v>
      </c>
    </row>
    <row r="17" spans="1:18" ht="30" customHeight="1">
      <c r="A17" s="131" t="s">
        <v>126</v>
      </c>
      <c r="B17" s="131">
        <v>0.5</v>
      </c>
      <c r="C17" s="131">
        <f>$B$7*B17</f>
        <v>174523000</v>
      </c>
      <c r="D17" s="131">
        <f>$C$7*B17</f>
        <v>72213000</v>
      </c>
      <c r="E17" s="131"/>
      <c r="F17" s="131" t="s">
        <v>126</v>
      </c>
      <c r="G17" s="131">
        <v>0.5</v>
      </c>
      <c r="H17" s="131">
        <f>$B$9*G17</f>
        <v>438023500</v>
      </c>
      <c r="I17" s="131">
        <f>$C$9*G17</f>
        <v>138127500</v>
      </c>
      <c r="J17" s="160" t="s">
        <v>126</v>
      </c>
      <c r="K17" s="160">
        <v>0.5</v>
      </c>
      <c r="L17" s="160">
        <f>$F$7*K17</f>
        <v>367039500</v>
      </c>
      <c r="M17" s="160">
        <f>$G$7*K17</f>
        <v>341384000</v>
      </c>
      <c r="N17" s="160"/>
      <c r="O17" s="160" t="s">
        <v>126</v>
      </c>
      <c r="P17" s="160">
        <v>0.5</v>
      </c>
      <c r="Q17" s="160">
        <f>$F$9*P17</f>
        <v>246853000</v>
      </c>
      <c r="R17" s="160">
        <f>$G$9*P17</f>
        <v>168423000</v>
      </c>
    </row>
    <row r="18" spans="1:18" ht="30" customHeight="1">
      <c r="A18" s="131" t="s">
        <v>126</v>
      </c>
      <c r="B18" s="131">
        <v>0.5</v>
      </c>
      <c r="C18" s="131">
        <f>$B$7*B18</f>
        <v>174523000</v>
      </c>
      <c r="D18" s="131">
        <f>$C$7*B18</f>
        <v>72213000</v>
      </c>
      <c r="E18" s="131"/>
      <c r="F18" s="131" t="s">
        <v>126</v>
      </c>
      <c r="G18" s="131">
        <v>0.5</v>
      </c>
      <c r="H18" s="131">
        <f>$B$9*G18</f>
        <v>438023500</v>
      </c>
      <c r="I18" s="131">
        <f>$C$9*G18</f>
        <v>138127500</v>
      </c>
      <c r="J18" s="160" t="s">
        <v>126</v>
      </c>
      <c r="K18" s="160">
        <v>0.5</v>
      </c>
      <c r="L18" s="160">
        <f>$F$7*K18</f>
        <v>367039500</v>
      </c>
      <c r="M18" s="160">
        <f>$G$7*K18</f>
        <v>341384000</v>
      </c>
      <c r="N18" s="160"/>
      <c r="O18" s="160" t="s">
        <v>126</v>
      </c>
      <c r="P18" s="160">
        <v>0.5</v>
      </c>
      <c r="Q18" s="160">
        <f>$F$9*P18</f>
        <v>246853000</v>
      </c>
      <c r="R18" s="160">
        <f>$G$9*P18</f>
        <v>168423000</v>
      </c>
    </row>
    <row r="19" spans="1:18" ht="30" customHeight="1"/>
    <row r="20" spans="1:18" ht="30" customHeight="1"/>
    <row r="21" spans="1:18" ht="30" customHeight="1">
      <c r="A21" s="682" t="s">
        <v>474</v>
      </c>
      <c r="B21" s="683"/>
      <c r="C21" s="683"/>
      <c r="D21" s="683"/>
      <c r="E21" s="683"/>
      <c r="F21" s="683"/>
      <c r="G21" s="683"/>
      <c r="H21" s="683"/>
      <c r="I21" s="684"/>
      <c r="J21" s="682" t="s">
        <v>475</v>
      </c>
      <c r="K21" s="683"/>
      <c r="L21" s="683"/>
      <c r="M21" s="683"/>
      <c r="N21" s="683"/>
      <c r="O21" s="683"/>
      <c r="P21" s="683"/>
      <c r="Q21" s="683"/>
      <c r="R21" s="684"/>
    </row>
    <row r="22" spans="1:18" ht="30" customHeight="1">
      <c r="A22" s="90" t="s">
        <v>125</v>
      </c>
      <c r="B22" s="90" t="s">
        <v>115</v>
      </c>
      <c r="C22" s="90" t="s">
        <v>9</v>
      </c>
      <c r="D22" s="90" t="s">
        <v>10</v>
      </c>
      <c r="E22" s="90"/>
      <c r="F22" s="90" t="s">
        <v>127</v>
      </c>
      <c r="G22" s="90" t="s">
        <v>115</v>
      </c>
      <c r="H22" s="90" t="s">
        <v>9</v>
      </c>
      <c r="I22" s="90" t="s">
        <v>10</v>
      </c>
      <c r="J22" s="90" t="s">
        <v>125</v>
      </c>
      <c r="K22" s="90" t="s">
        <v>115</v>
      </c>
      <c r="L22" s="90" t="s">
        <v>9</v>
      </c>
      <c r="M22" s="90" t="s">
        <v>10</v>
      </c>
      <c r="N22" s="90"/>
      <c r="O22" s="90" t="s">
        <v>127</v>
      </c>
      <c r="P22" s="90" t="s">
        <v>115</v>
      </c>
      <c r="Q22" s="90" t="s">
        <v>9</v>
      </c>
      <c r="R22" s="90" t="s">
        <v>10</v>
      </c>
    </row>
    <row r="23" spans="1:18" ht="30" customHeight="1">
      <c r="A23" s="90" t="s">
        <v>126</v>
      </c>
      <c r="B23" s="90">
        <v>0.5</v>
      </c>
      <c r="C23" s="90">
        <f>$J$7*B23</f>
        <v>139.5</v>
      </c>
      <c r="D23" s="90">
        <f>$K$7*B23</f>
        <v>86.5</v>
      </c>
      <c r="E23" s="90"/>
      <c r="F23" s="90" t="s">
        <v>126</v>
      </c>
      <c r="G23" s="90">
        <v>0.5</v>
      </c>
      <c r="H23" s="90">
        <f>$J$9*G23</f>
        <v>1017.5</v>
      </c>
      <c r="I23" s="90">
        <f>$K$9*G23</f>
        <v>596</v>
      </c>
      <c r="J23" s="90" t="s">
        <v>126</v>
      </c>
      <c r="K23" s="90">
        <v>0.5</v>
      </c>
      <c r="L23" s="90">
        <f>$N$7*K23</f>
        <v>136329</v>
      </c>
      <c r="M23" s="90">
        <f>$O$7*K23</f>
        <v>170692</v>
      </c>
      <c r="N23" s="90"/>
      <c r="O23" s="90" t="s">
        <v>126</v>
      </c>
      <c r="P23" s="90">
        <v>0.5</v>
      </c>
      <c r="Q23" s="90">
        <f>$N$9*P23</f>
        <v>95508.5</v>
      </c>
      <c r="R23" s="90">
        <f>$O$9*P23</f>
        <v>101131.5</v>
      </c>
    </row>
    <row r="24" spans="1:18" ht="30" customHeight="1">
      <c r="A24" s="90" t="s">
        <v>126</v>
      </c>
      <c r="B24" s="90">
        <v>0.5</v>
      </c>
      <c r="C24" s="90">
        <f>$J$7*B24</f>
        <v>139.5</v>
      </c>
      <c r="D24" s="90">
        <f>$K$7*B24</f>
        <v>86.5</v>
      </c>
      <c r="E24" s="90"/>
      <c r="F24" s="90" t="s">
        <v>126</v>
      </c>
      <c r="G24" s="90">
        <v>0.5</v>
      </c>
      <c r="H24" s="90">
        <f>$J$9*G24</f>
        <v>1017.5</v>
      </c>
      <c r="I24" s="90">
        <f>$K$9*G24</f>
        <v>596</v>
      </c>
      <c r="J24" s="90" t="s">
        <v>126</v>
      </c>
      <c r="K24" s="90">
        <v>0.5</v>
      </c>
      <c r="L24" s="90">
        <f>$N$7*K24</f>
        <v>136329</v>
      </c>
      <c r="M24" s="90">
        <f>$O$7*K24</f>
        <v>170692</v>
      </c>
      <c r="N24" s="90"/>
      <c r="O24" s="90" t="s">
        <v>126</v>
      </c>
      <c r="P24" s="90">
        <v>0.5</v>
      </c>
      <c r="Q24" s="90">
        <f>$N$9*P24</f>
        <v>95508.5</v>
      </c>
      <c r="R24" s="90">
        <f>$O$9*P24</f>
        <v>101131.5</v>
      </c>
    </row>
    <row r="25" spans="1:18" ht="30" customHeight="1"/>
    <row r="26" spans="1:18" ht="54" customHeight="1"/>
    <row r="27" spans="1:18" ht="34.049999999999997" customHeight="1">
      <c r="A27" s="612" t="s">
        <v>324</v>
      </c>
      <c r="B27" s="612"/>
      <c r="C27" s="612"/>
      <c r="E27" s="636" t="s">
        <v>324</v>
      </c>
      <c r="F27" s="636"/>
      <c r="G27" s="636"/>
      <c r="H27" s="174"/>
      <c r="I27" s="652" t="s">
        <v>324</v>
      </c>
      <c r="J27" s="652"/>
      <c r="K27" s="652"/>
      <c r="M27" s="652" t="s">
        <v>324</v>
      </c>
      <c r="N27" s="652"/>
      <c r="O27" s="652"/>
      <c r="P27" s="174"/>
      <c r="Q27" s="174"/>
    </row>
    <row r="28" spans="1:18" ht="30" customHeight="1">
      <c r="A28" s="612" t="s">
        <v>465</v>
      </c>
      <c r="B28" s="612"/>
      <c r="C28" s="612"/>
      <c r="E28" s="636" t="s">
        <v>333</v>
      </c>
      <c r="F28" s="636"/>
      <c r="G28" s="636"/>
      <c r="H28" s="174"/>
      <c r="I28" s="652" t="s">
        <v>474</v>
      </c>
      <c r="J28" s="652"/>
      <c r="K28" s="652"/>
      <c r="M28" s="652" t="s">
        <v>475</v>
      </c>
      <c r="N28" s="652"/>
      <c r="O28" s="652"/>
      <c r="P28" s="174"/>
      <c r="Q28" s="174"/>
    </row>
    <row r="29" spans="1:18" ht="30" customHeight="1">
      <c r="A29" s="131"/>
      <c r="B29" s="131" t="s">
        <v>9</v>
      </c>
      <c r="C29" s="131" t="s">
        <v>10</v>
      </c>
      <c r="E29" s="160"/>
      <c r="F29" s="160" t="s">
        <v>9</v>
      </c>
      <c r="G29" s="160" t="s">
        <v>10</v>
      </c>
      <c r="H29" s="44"/>
      <c r="I29" s="90"/>
      <c r="J29" s="90" t="s">
        <v>9</v>
      </c>
      <c r="K29" s="90" t="s">
        <v>10</v>
      </c>
      <c r="M29" s="90"/>
      <c r="N29" s="90" t="s">
        <v>9</v>
      </c>
      <c r="O29" s="90" t="s">
        <v>10</v>
      </c>
      <c r="P29" s="44"/>
      <c r="Q29" s="44"/>
    </row>
    <row r="30" spans="1:18" ht="30" customHeight="1">
      <c r="A30" s="131" t="s">
        <v>11</v>
      </c>
      <c r="B30" s="131">
        <f>B5+B6+C17</f>
        <v>310493000</v>
      </c>
      <c r="C30" s="131">
        <f>C5+C6+D17</f>
        <v>140589000</v>
      </c>
      <c r="E30" s="160" t="s">
        <v>11</v>
      </c>
      <c r="F30" s="160">
        <f>F5+F6+L17</f>
        <v>1169821500</v>
      </c>
      <c r="G30" s="160">
        <f>G5+G6+M17</f>
        <v>1121129000</v>
      </c>
      <c r="H30" s="44"/>
      <c r="I30" s="90" t="s">
        <v>11</v>
      </c>
      <c r="J30" s="90">
        <f>J5+J6+C23</f>
        <v>300.5</v>
      </c>
      <c r="K30" s="90">
        <f>K5+K6+D23</f>
        <v>193.5</v>
      </c>
      <c r="M30" s="90" t="s">
        <v>11</v>
      </c>
      <c r="N30" s="90">
        <f>N5+N6+L23</f>
        <v>704940</v>
      </c>
      <c r="O30" s="90">
        <f>O5+O6+M23</f>
        <v>828123</v>
      </c>
      <c r="P30" s="44"/>
      <c r="Q30" s="44"/>
    </row>
    <row r="31" spans="1:18" ht="30" customHeight="1">
      <c r="A31" s="131" t="s">
        <v>14</v>
      </c>
      <c r="B31" s="131">
        <f>C18+B8+H17</f>
        <v>1390991500</v>
      </c>
      <c r="C31" s="131">
        <f>D18+C8+I17</f>
        <v>520977500</v>
      </c>
      <c r="E31" s="160" t="s">
        <v>14</v>
      </c>
      <c r="F31" s="160">
        <f>L18+F8+Q17</f>
        <v>1327482500</v>
      </c>
      <c r="G31" s="160">
        <f>M18+G8+R17</f>
        <v>1100376000</v>
      </c>
      <c r="H31" s="44"/>
      <c r="I31" s="90" t="s">
        <v>14</v>
      </c>
      <c r="J31" s="90">
        <f>C24+J8+H23</f>
        <v>1870</v>
      </c>
      <c r="K31" s="90">
        <f>D24+K8+I23</f>
        <v>1127.5</v>
      </c>
      <c r="M31" s="90" t="s">
        <v>14</v>
      </c>
      <c r="N31" s="90">
        <f>L24+N8+Q23</f>
        <v>461742.5</v>
      </c>
      <c r="O31" s="90">
        <f>M24+O8+R23</f>
        <v>545040.5</v>
      </c>
      <c r="P31" s="44"/>
      <c r="Q31" s="44"/>
    </row>
    <row r="32" spans="1:18" ht="30" customHeight="1">
      <c r="A32" s="131" t="s">
        <v>12</v>
      </c>
      <c r="B32" s="131">
        <f>H18+B10</f>
        <v>536846500</v>
      </c>
      <c r="C32" s="131">
        <f>I18+C10</f>
        <v>164887500</v>
      </c>
      <c r="E32" s="160" t="s">
        <v>12</v>
      </c>
      <c r="F32" s="160">
        <f>Q18+F10</f>
        <v>365102000</v>
      </c>
      <c r="G32" s="160">
        <f>R18+G10</f>
        <v>254393000</v>
      </c>
      <c r="H32" s="44"/>
      <c r="I32" s="90" t="s">
        <v>12</v>
      </c>
      <c r="J32" s="90">
        <f>H24+J10</f>
        <v>2222.5</v>
      </c>
      <c r="K32" s="90">
        <f>I24+K10</f>
        <v>1298</v>
      </c>
      <c r="M32" s="90" t="s">
        <v>12</v>
      </c>
      <c r="N32" s="90">
        <f>Q24+N10</f>
        <v>159030.5</v>
      </c>
      <c r="O32" s="90">
        <f>R24+O10</f>
        <v>164273.5</v>
      </c>
      <c r="P32" s="44"/>
      <c r="Q32" s="44"/>
    </row>
    <row r="33" spans="1:11" ht="30" customHeight="1"/>
    <row r="34" spans="1:11" ht="30" customHeight="1"/>
    <row r="35" spans="1:11" ht="30" customHeight="1">
      <c r="A35" s="241"/>
      <c r="B35" s="241"/>
      <c r="C35" s="241"/>
      <c r="D35" s="241"/>
      <c r="E35" s="241"/>
      <c r="F35" s="241"/>
      <c r="G35" s="241"/>
      <c r="H35" s="241"/>
      <c r="I35" s="241"/>
      <c r="J35" s="241"/>
      <c r="K35" s="241"/>
    </row>
    <row r="36" spans="1:11" ht="37.950000000000003" customHeight="1">
      <c r="A36" s="627" t="s">
        <v>464</v>
      </c>
      <c r="B36" s="627"/>
      <c r="C36" s="627"/>
      <c r="D36" s="42"/>
      <c r="E36" s="685" t="s">
        <v>468</v>
      </c>
      <c r="F36" s="686"/>
      <c r="G36" s="687"/>
      <c r="H36" s="3"/>
      <c r="I36" s="167" t="s">
        <v>197</v>
      </c>
      <c r="J36" s="3"/>
      <c r="K36" s="167" t="s">
        <v>198</v>
      </c>
    </row>
    <row r="37" spans="1:11" ht="30" customHeight="1">
      <c r="A37" s="627"/>
      <c r="B37" s="627" t="s">
        <v>169</v>
      </c>
      <c r="C37" s="627"/>
      <c r="D37" s="3"/>
      <c r="E37" s="640"/>
      <c r="F37" s="685" t="s">
        <v>169</v>
      </c>
      <c r="G37" s="687"/>
      <c r="H37" s="3"/>
      <c r="I37" s="172" t="s">
        <v>331</v>
      </c>
      <c r="J37" s="3"/>
      <c r="K37" s="172" t="s">
        <v>157</v>
      </c>
    </row>
    <row r="38" spans="1:11" ht="30" customHeight="1">
      <c r="A38" s="627"/>
      <c r="B38" s="118" t="s">
        <v>9</v>
      </c>
      <c r="C38" s="118" t="s">
        <v>10</v>
      </c>
      <c r="D38" s="3"/>
      <c r="E38" s="641"/>
      <c r="F38" s="162" t="s">
        <v>9</v>
      </c>
      <c r="G38" s="162" t="s">
        <v>10</v>
      </c>
      <c r="H38" s="3"/>
      <c r="I38" s="168">
        <f>IMF!I13/(IMF!C13*IMF!D13)</f>
        <v>2051378347469.7375</v>
      </c>
      <c r="J38" s="3"/>
      <c r="K38" s="168">
        <f>IMF!H13/IMF!C13</f>
        <v>1979342559549.7141</v>
      </c>
    </row>
    <row r="39" spans="1:11" ht="30" customHeight="1">
      <c r="A39" s="118" t="s">
        <v>11</v>
      </c>
      <c r="B39" s="151">
        <f>(B30*IMF!$B$13)/IMF!$F$13</f>
        <v>267126167.56962022</v>
      </c>
      <c r="C39" s="151">
        <f>(C30*IMF!$B$13)/IMF!$F$13</f>
        <v>120952809.79746836</v>
      </c>
      <c r="D39" s="3"/>
      <c r="E39" s="162" t="s">
        <v>11</v>
      </c>
      <c r="F39" s="161">
        <f>(F30*IMF!$B$13)/IMF!$F$13</f>
        <v>1006431494.5443038</v>
      </c>
      <c r="G39" s="161">
        <f>(G30*IMF!$B$13)/IMF!$F$13</f>
        <v>964539919.16455698</v>
      </c>
      <c r="H39" s="3"/>
      <c r="I39" s="3"/>
      <c r="J39" s="34"/>
      <c r="K39" s="34"/>
    </row>
    <row r="40" spans="1:11" ht="30" customHeight="1">
      <c r="A40" s="118" t="s">
        <v>14</v>
      </c>
      <c r="B40" s="151">
        <f>(B31*IMF!$B$13)/IMF!$F$13</f>
        <v>1196710484.670886</v>
      </c>
      <c r="C40" s="151">
        <f>(C31*IMF!$B$13)/IMF!$F$13</f>
        <v>448212110.94936711</v>
      </c>
      <c r="D40" s="3"/>
      <c r="E40" s="162" t="s">
        <v>14</v>
      </c>
      <c r="F40" s="161">
        <f>(F31*IMF!$B$13)/IMF!$F$13</f>
        <v>1142071842.9746835</v>
      </c>
      <c r="G40" s="161">
        <f>(G31*IMF!$B$13)/IMF!$F$13</f>
        <v>946685509.06329107</v>
      </c>
      <c r="H40" s="3"/>
      <c r="I40" s="3"/>
      <c r="J40" s="34"/>
      <c r="K40" s="34"/>
    </row>
    <row r="41" spans="1:11" ht="30" customHeight="1">
      <c r="A41" s="118" t="s">
        <v>12</v>
      </c>
      <c r="B41" s="151">
        <f>(B32*IMF!$B$13)/IMF!$F$13</f>
        <v>461864673.6582278</v>
      </c>
      <c r="C41" s="151">
        <f>(C32*IMF!$B$13)/IMF!$F$13</f>
        <v>141857516.77215189</v>
      </c>
      <c r="D41" s="3"/>
      <c r="E41" s="162" t="s">
        <v>12</v>
      </c>
      <c r="F41" s="161">
        <f>(F32*IMF!$B$13)/IMF!$F$13</f>
        <v>314107880.15189874</v>
      </c>
      <c r="G41" s="161">
        <f>(G32*IMF!$B$13)/IMF!$F$13</f>
        <v>218861704.27848101</v>
      </c>
      <c r="H41" s="3"/>
      <c r="I41" s="3"/>
      <c r="J41" s="3"/>
      <c r="K41" s="3"/>
    </row>
    <row r="42" spans="1:11" ht="30" customHeight="1">
      <c r="A42" s="3"/>
      <c r="B42" s="3"/>
      <c r="C42" s="3"/>
      <c r="D42" s="3"/>
      <c r="E42" s="3"/>
      <c r="F42" s="3"/>
      <c r="G42" s="3"/>
      <c r="H42" s="3"/>
      <c r="I42" s="3"/>
      <c r="J42" s="3"/>
      <c r="K42" s="3"/>
    </row>
    <row r="43" spans="1:11" ht="30" customHeight="1">
      <c r="D43" s="3"/>
      <c r="E43" s="3"/>
      <c r="F43" s="3"/>
      <c r="G43" s="3"/>
      <c r="H43" s="3"/>
      <c r="I43" s="3"/>
      <c r="J43" s="3"/>
      <c r="K43" s="3"/>
    </row>
    <row r="44" spans="1:11" ht="30" customHeight="1">
      <c r="D44" s="3"/>
      <c r="E44" s="3"/>
      <c r="F44" s="3"/>
      <c r="G44" s="3"/>
      <c r="H44" s="3"/>
      <c r="I44" s="3"/>
      <c r="J44" s="3"/>
      <c r="K44" s="3"/>
    </row>
    <row r="45" spans="1:11" ht="30" customHeight="1">
      <c r="D45" s="34"/>
      <c r="E45" s="3"/>
      <c r="F45" s="3"/>
      <c r="G45" s="3"/>
      <c r="H45" s="3"/>
      <c r="I45" s="3"/>
      <c r="J45" s="3"/>
      <c r="K45" s="3"/>
    </row>
    <row r="46" spans="1:11" ht="30" customHeight="1"/>
    <row r="47" spans="1:11" ht="30" customHeight="1"/>
    <row r="48" spans="1:11"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16.95" customHeight="1"/>
    <row r="62" ht="18" customHeight="1"/>
    <row r="63" ht="30" customHeight="1"/>
    <row r="64" ht="30" customHeight="1"/>
    <row r="65" spans="1:12" ht="30" customHeight="1">
      <c r="A65" s="3"/>
      <c r="B65" s="3"/>
      <c r="C65" s="3"/>
      <c r="D65" s="3"/>
      <c r="E65" s="3"/>
      <c r="F65" s="3"/>
      <c r="G65" s="3"/>
      <c r="H65" s="3"/>
      <c r="I65" s="3"/>
    </row>
    <row r="66" spans="1:12" ht="30" customHeight="1">
      <c r="A66" s="3"/>
      <c r="B66" s="3"/>
      <c r="C66" s="3"/>
      <c r="D66" s="3"/>
      <c r="E66" s="3"/>
      <c r="F66" s="3"/>
      <c r="G66" s="3"/>
      <c r="H66" s="3"/>
      <c r="I66" s="3"/>
    </row>
    <row r="67" spans="1:12" ht="30" customHeight="1">
      <c r="A67" s="3"/>
      <c r="B67" s="3"/>
      <c r="C67" s="3"/>
      <c r="D67" s="3"/>
      <c r="E67" s="3"/>
      <c r="F67" s="3"/>
      <c r="G67" s="3"/>
      <c r="H67" s="3"/>
      <c r="I67" s="3"/>
    </row>
    <row r="68" spans="1:12">
      <c r="A68" s="3"/>
      <c r="B68" s="3"/>
      <c r="C68" s="3"/>
      <c r="D68" s="3"/>
      <c r="E68" s="3"/>
      <c r="F68" s="3"/>
      <c r="G68" s="3"/>
      <c r="H68" s="3"/>
      <c r="I68" s="3"/>
    </row>
    <row r="69" spans="1:12">
      <c r="A69" s="3"/>
      <c r="B69" s="3"/>
      <c r="C69" s="3"/>
      <c r="D69" s="3"/>
      <c r="E69" s="3"/>
      <c r="F69" s="3"/>
      <c r="G69" s="3"/>
      <c r="H69" s="3"/>
      <c r="I69" s="3"/>
    </row>
    <row r="70" spans="1:12">
      <c r="A70" s="3"/>
      <c r="B70" s="3"/>
      <c r="C70" s="3"/>
      <c r="D70" s="3"/>
      <c r="E70" s="3"/>
      <c r="F70" s="3"/>
      <c r="G70" s="3"/>
      <c r="H70" s="3"/>
      <c r="I70" s="3"/>
    </row>
    <row r="71" spans="1:12">
      <c r="A71" s="675" t="s">
        <v>117</v>
      </c>
      <c r="B71" s="675"/>
      <c r="C71" s="675"/>
      <c r="D71" s="675"/>
      <c r="E71" s="675"/>
      <c r="F71" s="676"/>
      <c r="G71" s="675" t="s">
        <v>118</v>
      </c>
      <c r="H71" s="675"/>
      <c r="I71" s="675"/>
      <c r="J71" s="675"/>
      <c r="K71" s="675"/>
      <c r="L71" s="675"/>
    </row>
    <row r="72" spans="1:12">
      <c r="F72" s="24"/>
    </row>
    <row r="74" spans="1:12">
      <c r="A74" s="25"/>
    </row>
    <row r="75" spans="1:12">
      <c r="A75" s="27"/>
    </row>
    <row r="76" spans="1:12">
      <c r="A76" s="28"/>
    </row>
    <row r="77" spans="1:12">
      <c r="F77" s="24"/>
    </row>
    <row r="78" spans="1:12">
      <c r="F78" s="24"/>
    </row>
    <row r="79" spans="1:12">
      <c r="F79" s="24"/>
    </row>
    <row r="80" spans="1:12">
      <c r="F80" s="24"/>
    </row>
    <row r="81" spans="1:9">
      <c r="F81" s="26"/>
    </row>
    <row r="84" spans="1:9">
      <c r="F84" s="26"/>
    </row>
    <row r="86" spans="1:9">
      <c r="A86" s="3"/>
      <c r="B86" s="3"/>
      <c r="C86" s="3"/>
      <c r="D86" s="3"/>
      <c r="E86" s="3"/>
      <c r="F86" s="3"/>
      <c r="G86" s="3"/>
      <c r="H86" s="3"/>
      <c r="I86" s="3"/>
    </row>
    <row r="87" spans="1:9">
      <c r="A87" s="677"/>
      <c r="B87" s="679" t="s">
        <v>193</v>
      </c>
      <c r="C87" s="679"/>
      <c r="D87" s="3"/>
      <c r="E87" s="677"/>
      <c r="F87" s="679" t="s">
        <v>194</v>
      </c>
      <c r="G87" s="679"/>
      <c r="H87" s="3"/>
      <c r="I87" s="3"/>
    </row>
    <row r="88" spans="1:9">
      <c r="A88" s="678"/>
      <c r="B88" s="30" t="s">
        <v>151</v>
      </c>
      <c r="C88" s="30" t="s">
        <v>152</v>
      </c>
      <c r="D88" s="3"/>
      <c r="E88" s="678"/>
      <c r="F88" s="30" t="s">
        <v>151</v>
      </c>
      <c r="G88" s="30" t="s">
        <v>152</v>
      </c>
      <c r="H88" s="3"/>
      <c r="I88" s="3"/>
    </row>
    <row r="89" spans="1:9">
      <c r="A89" s="30" t="s">
        <v>11</v>
      </c>
      <c r="B89" s="33">
        <f>B109</f>
        <v>9455311.959999999</v>
      </c>
      <c r="C89" s="33">
        <f>C109</f>
        <v>6018847.919999999</v>
      </c>
      <c r="D89" s="34"/>
      <c r="E89" s="30" t="s">
        <v>11</v>
      </c>
      <c r="F89" s="33">
        <f>B116</f>
        <v>175314053.21999997</v>
      </c>
      <c r="G89" s="33">
        <f>C116</f>
        <v>167985884.29999998</v>
      </c>
      <c r="H89" s="3"/>
      <c r="I89" s="3"/>
    </row>
    <row r="90" spans="1:9">
      <c r="A90" s="30" t="s">
        <v>14</v>
      </c>
      <c r="B90" s="33">
        <f t="shared" ref="B90:C91" si="0">B110</f>
        <v>127489592.93999998</v>
      </c>
      <c r="C90" s="33">
        <f t="shared" si="0"/>
        <v>62847407.999999993</v>
      </c>
      <c r="D90" s="34"/>
      <c r="E90" s="30" t="s">
        <v>14</v>
      </c>
      <c r="F90" s="33">
        <f t="shared" ref="F90:G91" si="1">B117</f>
        <v>633223893.71999991</v>
      </c>
      <c r="G90" s="33">
        <f t="shared" si="1"/>
        <v>617349887.3499999</v>
      </c>
      <c r="H90" s="3"/>
      <c r="I90" s="3"/>
    </row>
    <row r="91" spans="1:9">
      <c r="A91" s="30" t="s">
        <v>12</v>
      </c>
      <c r="B91" s="33">
        <f t="shared" si="0"/>
        <v>351548659.81999999</v>
      </c>
      <c r="C91" s="33">
        <f t="shared" si="0"/>
        <v>145461534.41999999</v>
      </c>
      <c r="D91" s="34"/>
      <c r="E91" s="30" t="s">
        <v>12</v>
      </c>
      <c r="F91" s="33">
        <f t="shared" si="1"/>
        <v>739342346.42999995</v>
      </c>
      <c r="G91" s="33">
        <f t="shared" si="1"/>
        <v>687663446.55999994</v>
      </c>
      <c r="H91" s="3"/>
      <c r="I91" s="3"/>
    </row>
    <row r="92" spans="1:9">
      <c r="A92" s="3"/>
      <c r="B92" s="3"/>
      <c r="C92" s="3"/>
      <c r="D92" s="3"/>
      <c r="E92" s="3"/>
      <c r="F92" s="3"/>
      <c r="G92" s="3"/>
      <c r="H92" s="3"/>
      <c r="I92" s="3"/>
    </row>
    <row r="93" spans="1:9">
      <c r="A93" s="3"/>
      <c r="B93" s="3"/>
      <c r="C93" s="3"/>
      <c r="D93" s="3"/>
      <c r="E93" s="3"/>
      <c r="F93" s="3"/>
      <c r="G93" s="3"/>
      <c r="H93" s="3"/>
      <c r="I93" s="3"/>
    </row>
    <row r="94" spans="1:9">
      <c r="A94" s="30"/>
      <c r="B94" s="32">
        <v>2020</v>
      </c>
      <c r="C94" s="30">
        <v>2021</v>
      </c>
      <c r="D94" s="30">
        <v>2022</v>
      </c>
      <c r="E94" s="3"/>
      <c r="F94" s="3"/>
      <c r="G94" s="3"/>
      <c r="H94" s="646"/>
      <c r="I94" s="646"/>
    </row>
    <row r="95" spans="1:9">
      <c r="A95" s="31" t="s">
        <v>153</v>
      </c>
      <c r="B95" s="51">
        <v>0.71699999999999997</v>
      </c>
      <c r="C95" s="52">
        <v>3.4009999999999998</v>
      </c>
      <c r="D95" s="52">
        <v>6.7969999999999997</v>
      </c>
      <c r="E95" s="3"/>
      <c r="F95" s="3"/>
      <c r="G95" s="3"/>
      <c r="H95" s="3"/>
      <c r="I95" s="3"/>
    </row>
    <row r="96" spans="1:9" ht="63" customHeight="1">
      <c r="A96" s="31" t="s">
        <v>165</v>
      </c>
      <c r="B96" s="33">
        <f>1865.2*1000000000</f>
        <v>1865200000000</v>
      </c>
      <c r="C96" s="33">
        <f>2046.66*1000000000</f>
        <v>2046660000000</v>
      </c>
      <c r="D96" s="33">
        <f>2265.32*1000000000</f>
        <v>2265320000000</v>
      </c>
      <c r="E96" s="3"/>
      <c r="F96" s="3"/>
      <c r="G96" s="3"/>
      <c r="H96" s="34"/>
      <c r="I96" s="34"/>
    </row>
    <row r="97" spans="1:9" ht="103.05" customHeight="1">
      <c r="A97" s="31" t="s">
        <v>200</v>
      </c>
      <c r="B97" s="33"/>
      <c r="C97" s="33">
        <f>A127</f>
        <v>1979342559549.7141</v>
      </c>
      <c r="D97" s="33">
        <f>B123</f>
        <v>2051378347469.7373</v>
      </c>
      <c r="E97" s="3"/>
      <c r="F97" s="3"/>
      <c r="G97" s="3"/>
      <c r="H97" s="34"/>
      <c r="I97" s="34"/>
    </row>
    <row r="98" spans="1:9">
      <c r="A98" s="3"/>
      <c r="B98" s="3"/>
      <c r="C98" s="3"/>
      <c r="D98" s="3"/>
      <c r="E98" s="3"/>
      <c r="F98" s="3"/>
      <c r="G98" s="3"/>
      <c r="H98" s="34"/>
      <c r="I98" s="34"/>
    </row>
    <row r="99" spans="1:9">
      <c r="H99" s="34"/>
      <c r="I99" s="34"/>
    </row>
    <row r="100" spans="1:9">
      <c r="H100" s="3"/>
      <c r="I100" s="3"/>
    </row>
    <row r="101" spans="1:9">
      <c r="H101" s="3"/>
      <c r="I101" s="3"/>
    </row>
    <row r="102" spans="1:9">
      <c r="H102" s="3"/>
      <c r="I102" s="3"/>
    </row>
    <row r="103" spans="1:9">
      <c r="H103" s="3"/>
      <c r="I103" s="3"/>
    </row>
    <row r="104" spans="1:9">
      <c r="H104" s="3"/>
      <c r="I104" s="3"/>
    </row>
    <row r="105" spans="1:9">
      <c r="A105" s="3"/>
      <c r="B105" s="3"/>
      <c r="C105" s="3"/>
      <c r="D105" s="3"/>
      <c r="E105" s="3"/>
      <c r="F105" s="3"/>
      <c r="G105" s="3"/>
      <c r="H105" s="3"/>
      <c r="I105" s="3"/>
    </row>
    <row r="106" spans="1:9">
      <c r="A106" s="603" t="s">
        <v>195</v>
      </c>
      <c r="B106" s="604"/>
      <c r="C106" s="605"/>
      <c r="D106" s="3"/>
      <c r="E106" s="3"/>
      <c r="F106" s="3"/>
      <c r="G106" s="3"/>
      <c r="H106" s="3"/>
      <c r="I106" s="3"/>
    </row>
    <row r="107" spans="1:9">
      <c r="A107" s="677"/>
      <c r="B107" s="680" t="s">
        <v>169</v>
      </c>
      <c r="C107" s="681"/>
      <c r="D107" s="46"/>
      <c r="E107" s="3"/>
      <c r="F107" s="3"/>
      <c r="G107" s="3"/>
      <c r="H107" s="3"/>
      <c r="I107" s="3"/>
    </row>
    <row r="108" spans="1:9">
      <c r="A108" s="678"/>
      <c r="B108" s="30" t="s">
        <v>151</v>
      </c>
      <c r="C108" s="32" t="s">
        <v>152</v>
      </c>
      <c r="D108" s="46"/>
      <c r="E108" s="3"/>
      <c r="F108" s="3"/>
      <c r="G108" s="3"/>
      <c r="H108" s="3"/>
      <c r="I108" s="3"/>
    </row>
    <row r="109" spans="1:9">
      <c r="A109" s="30" t="s">
        <v>11</v>
      </c>
      <c r="B109" s="33">
        <f t="shared" ref="B109:C111" si="2">B5*($B$95/100+1)</f>
        <v>9455311.959999999</v>
      </c>
      <c r="C109" s="33">
        <f t="shared" si="2"/>
        <v>6018847.919999999</v>
      </c>
      <c r="D109" s="41"/>
      <c r="E109" s="34"/>
      <c r="F109" s="3"/>
      <c r="G109" s="3"/>
      <c r="H109" s="3"/>
      <c r="I109" s="3"/>
    </row>
    <row r="110" spans="1:9">
      <c r="A110" s="30" t="s">
        <v>14</v>
      </c>
      <c r="B110" s="33">
        <f t="shared" si="2"/>
        <v>127489592.93999998</v>
      </c>
      <c r="C110" s="33">
        <f t="shared" si="2"/>
        <v>62847407.999999993</v>
      </c>
      <c r="D110" s="41"/>
      <c r="E110" s="34"/>
      <c r="F110" s="3"/>
      <c r="G110" s="3"/>
      <c r="H110" s="3"/>
      <c r="I110" s="3"/>
    </row>
    <row r="111" spans="1:9">
      <c r="A111" s="30" t="s">
        <v>12</v>
      </c>
      <c r="B111" s="33">
        <f t="shared" si="2"/>
        <v>351548659.81999999</v>
      </c>
      <c r="C111" s="33">
        <f t="shared" si="2"/>
        <v>145461534.41999999</v>
      </c>
      <c r="D111" s="41"/>
      <c r="E111" s="34"/>
      <c r="F111" s="3"/>
      <c r="G111" s="3"/>
      <c r="H111" s="3"/>
      <c r="I111" s="3"/>
    </row>
    <row r="112" spans="1:9">
      <c r="A112" s="3"/>
      <c r="B112" s="3"/>
      <c r="C112" s="3"/>
      <c r="D112" s="46"/>
      <c r="E112" s="3"/>
      <c r="F112" s="3"/>
      <c r="G112" s="3"/>
      <c r="H112" s="3"/>
      <c r="I112" s="3"/>
    </row>
    <row r="113" spans="1:9">
      <c r="A113" s="603" t="s">
        <v>196</v>
      </c>
      <c r="B113" s="604"/>
      <c r="C113" s="605"/>
      <c r="D113" s="46"/>
      <c r="E113" s="3"/>
      <c r="F113" s="3"/>
      <c r="G113" s="3"/>
      <c r="H113" s="3"/>
      <c r="I113" s="3"/>
    </row>
    <row r="114" spans="1:9">
      <c r="A114" s="677"/>
      <c r="B114" s="603" t="s">
        <v>169</v>
      </c>
      <c r="C114" s="604"/>
      <c r="D114" s="46"/>
      <c r="E114" s="3"/>
      <c r="F114" s="3"/>
      <c r="G114" s="3"/>
      <c r="H114" s="3"/>
      <c r="I114" s="3"/>
    </row>
    <row r="115" spans="1:9">
      <c r="A115" s="678"/>
      <c r="B115" s="30" t="s">
        <v>151</v>
      </c>
      <c r="C115" s="32" t="s">
        <v>152</v>
      </c>
      <c r="D115" s="46"/>
      <c r="E115" s="3"/>
      <c r="F115" s="3"/>
      <c r="G115" s="3"/>
      <c r="H115" s="3"/>
      <c r="I115" s="3"/>
    </row>
    <row r="116" spans="1:9">
      <c r="A116" s="30" t="s">
        <v>11</v>
      </c>
      <c r="B116" s="33">
        <f t="shared" ref="B116:C118" si="3">F5*($B$95/100+1)</f>
        <v>175314053.21999997</v>
      </c>
      <c r="C116" s="33">
        <f t="shared" si="3"/>
        <v>167985884.29999998</v>
      </c>
      <c r="D116" s="41"/>
      <c r="E116" s="34"/>
      <c r="F116" s="3"/>
      <c r="G116" s="3"/>
      <c r="H116" s="3"/>
      <c r="I116" s="3"/>
    </row>
    <row r="117" spans="1:9">
      <c r="A117" s="30" t="s">
        <v>14</v>
      </c>
      <c r="B117" s="33">
        <f t="shared" si="3"/>
        <v>633223893.71999991</v>
      </c>
      <c r="C117" s="33">
        <f t="shared" si="3"/>
        <v>617349887.3499999</v>
      </c>
      <c r="D117" s="41"/>
      <c r="E117" s="34"/>
      <c r="F117" s="3"/>
      <c r="G117" s="3"/>
      <c r="H117" s="3"/>
      <c r="I117" s="3"/>
    </row>
    <row r="118" spans="1:9">
      <c r="A118" s="30" t="s">
        <v>12</v>
      </c>
      <c r="B118" s="33">
        <f t="shared" si="3"/>
        <v>739342346.42999995</v>
      </c>
      <c r="C118" s="33">
        <f t="shared" si="3"/>
        <v>687663446.55999994</v>
      </c>
      <c r="D118" s="41"/>
      <c r="E118" s="34"/>
      <c r="F118" s="3"/>
      <c r="G118" s="3"/>
      <c r="H118" s="3"/>
      <c r="I118" s="3"/>
    </row>
    <row r="119" spans="1:9">
      <c r="A119" s="3"/>
      <c r="B119" s="34"/>
      <c r="C119" s="34"/>
      <c r="D119" s="34"/>
      <c r="E119" s="34"/>
      <c r="F119" s="3"/>
      <c r="G119" s="3"/>
      <c r="H119" s="3"/>
      <c r="I119" s="3"/>
    </row>
    <row r="120" spans="1:9">
      <c r="A120" s="3"/>
      <c r="B120" s="34"/>
      <c r="C120" s="34"/>
      <c r="D120" s="34"/>
      <c r="E120" s="34"/>
      <c r="F120" s="3"/>
      <c r="G120" s="3"/>
      <c r="H120" s="3"/>
      <c r="I120" s="3"/>
    </row>
    <row r="121" spans="1:9">
      <c r="A121" s="600" t="s">
        <v>197</v>
      </c>
      <c r="B121" s="600"/>
      <c r="C121" s="34"/>
      <c r="D121" s="34"/>
      <c r="E121" s="34"/>
      <c r="F121" s="3"/>
      <c r="G121" s="3"/>
      <c r="H121" s="3"/>
      <c r="I121" s="3"/>
    </row>
    <row r="122" spans="1:9">
      <c r="A122" s="30" t="s">
        <v>156</v>
      </c>
      <c r="B122" s="30" t="s">
        <v>157</v>
      </c>
      <c r="C122" s="34"/>
      <c r="D122" s="34"/>
      <c r="E122" s="34"/>
      <c r="F122" s="3"/>
      <c r="G122" s="3"/>
      <c r="H122" s="3"/>
      <c r="I122" s="3"/>
    </row>
    <row r="123" spans="1:9">
      <c r="A123" s="33">
        <f>D96/($D$95/100+1)</f>
        <v>2121145725067.1833</v>
      </c>
      <c r="B123" s="33">
        <f>A123/($C$95/100+1)</f>
        <v>2051378347469.7373</v>
      </c>
      <c r="C123" s="34"/>
      <c r="D123" s="34"/>
      <c r="E123" s="34"/>
      <c r="F123" s="3"/>
      <c r="G123" s="3"/>
      <c r="H123" s="3"/>
      <c r="I123" s="3"/>
    </row>
    <row r="124" spans="1:9">
      <c r="A124" s="45"/>
      <c r="B124" s="43"/>
      <c r="C124" s="34"/>
      <c r="D124" s="34"/>
      <c r="E124" s="34"/>
      <c r="F124" s="3"/>
      <c r="G124" s="3"/>
      <c r="H124" s="3"/>
      <c r="I124" s="3"/>
    </row>
    <row r="125" spans="1:9">
      <c r="A125" s="32" t="s">
        <v>198</v>
      </c>
      <c r="B125" s="46"/>
      <c r="C125" s="34"/>
      <c r="D125" s="34"/>
      <c r="E125" s="34"/>
      <c r="F125" s="3"/>
      <c r="G125" s="3"/>
      <c r="H125" s="3"/>
      <c r="I125" s="3"/>
    </row>
    <row r="126" spans="1:9">
      <c r="A126" s="32" t="s">
        <v>157</v>
      </c>
      <c r="B126" s="46"/>
      <c r="C126" s="34"/>
      <c r="D126" s="34"/>
      <c r="E126" s="34"/>
      <c r="F126" s="3"/>
      <c r="G126" s="3"/>
      <c r="H126" s="3"/>
      <c r="I126" s="3"/>
    </row>
    <row r="127" spans="1:9">
      <c r="A127" s="39">
        <f>C96/($C$95/100+1)</f>
        <v>1979342559549.7141</v>
      </c>
      <c r="B127" s="46"/>
      <c r="C127" s="34"/>
      <c r="D127" s="34"/>
      <c r="E127" s="34"/>
      <c r="F127" s="3"/>
      <c r="G127" s="3"/>
      <c r="H127" s="3"/>
      <c r="I127" s="3"/>
    </row>
    <row r="128" spans="1:9">
      <c r="A128" s="3"/>
      <c r="B128" s="34"/>
      <c r="C128" s="34"/>
      <c r="D128" s="34"/>
      <c r="E128" s="34"/>
      <c r="F128" s="3"/>
      <c r="G128" s="3"/>
      <c r="H128" s="3"/>
      <c r="I128" s="3"/>
    </row>
    <row r="129" spans="1:9">
      <c r="A129" s="3"/>
      <c r="B129" s="34"/>
      <c r="C129" s="34"/>
      <c r="D129" s="34"/>
      <c r="E129" s="34"/>
      <c r="F129" s="3"/>
      <c r="G129" s="3"/>
      <c r="H129" s="3"/>
      <c r="I129" s="3"/>
    </row>
    <row r="130" spans="1:9">
      <c r="A130" s="3"/>
      <c r="B130" s="34"/>
      <c r="C130" s="34"/>
      <c r="D130" s="34"/>
      <c r="E130" s="34"/>
      <c r="F130" s="3"/>
      <c r="G130" s="3"/>
      <c r="H130" s="3"/>
      <c r="I130" s="3"/>
    </row>
    <row r="131" spans="1:9">
      <c r="A131" s="596" t="s">
        <v>192</v>
      </c>
      <c r="B131" s="596"/>
      <c r="C131" s="48"/>
      <c r="D131" s="48"/>
      <c r="E131" s="34"/>
      <c r="F131" s="3"/>
      <c r="G131" s="3"/>
      <c r="H131" s="3"/>
      <c r="I131" s="3"/>
    </row>
    <row r="132" spans="1:9">
      <c r="A132" s="596" t="s">
        <v>158</v>
      </c>
      <c r="B132" s="596"/>
      <c r="C132" s="596"/>
      <c r="D132" s="596"/>
      <c r="E132" s="34"/>
      <c r="F132" s="3"/>
      <c r="G132" s="3"/>
      <c r="H132" s="3"/>
      <c r="I132" s="3"/>
    </row>
    <row r="133" spans="1:9">
      <c r="A133" s="3"/>
      <c r="B133" s="3"/>
      <c r="C133" s="3"/>
      <c r="D133" s="3"/>
      <c r="E133" s="3"/>
      <c r="F133" s="3"/>
      <c r="G133" s="3"/>
      <c r="H133" s="3"/>
      <c r="I133" s="3"/>
    </row>
    <row r="134" spans="1:9">
      <c r="A134" s="3"/>
      <c r="B134" s="3"/>
      <c r="C134" s="3"/>
      <c r="D134" s="3"/>
      <c r="E134" s="3"/>
      <c r="F134" s="3"/>
      <c r="G134" s="3"/>
      <c r="H134" s="3"/>
      <c r="I134" s="3"/>
    </row>
  </sheetData>
  <mergeCells count="46">
    <mergeCell ref="A36:C36"/>
    <mergeCell ref="E36:G36"/>
    <mergeCell ref="A37:A38"/>
    <mergeCell ref="B37:C37"/>
    <mergeCell ref="E37:E38"/>
    <mergeCell ref="F37:G37"/>
    <mergeCell ref="M27:O27"/>
    <mergeCell ref="M28:O28"/>
    <mergeCell ref="A15:I15"/>
    <mergeCell ref="J15:R15"/>
    <mergeCell ref="A21:I21"/>
    <mergeCell ref="J21:R21"/>
    <mergeCell ref="A28:C28"/>
    <mergeCell ref="A27:C27"/>
    <mergeCell ref="E27:G27"/>
    <mergeCell ref="E28:G28"/>
    <mergeCell ref="I27:K27"/>
    <mergeCell ref="I28:K28"/>
    <mergeCell ref="I2:K2"/>
    <mergeCell ref="J3:K3"/>
    <mergeCell ref="M2:O2"/>
    <mergeCell ref="N3:O3"/>
    <mergeCell ref="I3:I4"/>
    <mergeCell ref="M3:M4"/>
    <mergeCell ref="A2:C2"/>
    <mergeCell ref="E2:G2"/>
    <mergeCell ref="A3:A4"/>
    <mergeCell ref="B3:C3"/>
    <mergeCell ref="E3:E4"/>
    <mergeCell ref="F3:G3"/>
    <mergeCell ref="A131:B131"/>
    <mergeCell ref="A132:D132"/>
    <mergeCell ref="A71:F71"/>
    <mergeCell ref="G71:L71"/>
    <mergeCell ref="A87:A88"/>
    <mergeCell ref="B87:C87"/>
    <mergeCell ref="E87:E88"/>
    <mergeCell ref="F87:G87"/>
    <mergeCell ref="H94:I94"/>
    <mergeCell ref="A121:B121"/>
    <mergeCell ref="A114:A115"/>
    <mergeCell ref="B114:C114"/>
    <mergeCell ref="A106:C106"/>
    <mergeCell ref="A113:C113"/>
    <mergeCell ref="A107:A108"/>
    <mergeCell ref="B107:C107"/>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B6FE4-11BD-AF47-B967-DFFBB64F5B87}">
  <dimension ref="A2:B14"/>
  <sheetViews>
    <sheetView zoomScale="80" zoomScaleNormal="80" workbookViewId="0">
      <selection activeCell="I13" sqref="I13"/>
    </sheetView>
  </sheetViews>
  <sheetFormatPr defaultColWidth="11.19921875" defaultRowHeight="15.6"/>
  <cols>
    <col min="1" max="1" width="22.69921875" customWidth="1"/>
    <col min="2" max="2" width="27.796875" customWidth="1"/>
  </cols>
  <sheetData>
    <row r="2" spans="1:2" ht="40.049999999999997" customHeight="1">
      <c r="A2" s="636" t="s">
        <v>155</v>
      </c>
      <c r="B2" s="636"/>
    </row>
    <row r="3" spans="1:2" ht="40.049999999999997" customHeight="1">
      <c r="A3" s="636" t="s">
        <v>449</v>
      </c>
      <c r="B3" s="636"/>
    </row>
    <row r="4" spans="1:2" ht="40.049999999999997" customHeight="1">
      <c r="A4" s="160" t="s">
        <v>448</v>
      </c>
      <c r="B4" s="160">
        <f>18*1000000</f>
        <v>18000000</v>
      </c>
    </row>
    <row r="5" spans="1:2" ht="40.049999999999997" customHeight="1">
      <c r="A5" s="160" t="s">
        <v>447</v>
      </c>
      <c r="B5" s="160">
        <f>217*1000000</f>
        <v>217000000</v>
      </c>
    </row>
    <row r="6" spans="1:2" ht="40.049999999999997" customHeight="1">
      <c r="A6" s="160" t="s">
        <v>279</v>
      </c>
      <c r="B6" s="160">
        <f>1396*1000000</f>
        <v>1396000000</v>
      </c>
    </row>
    <row r="11" spans="1:2" ht="40.950000000000003" customHeight="1">
      <c r="A11" s="688" t="s">
        <v>450</v>
      </c>
      <c r="B11" s="689"/>
    </row>
    <row r="12" spans="1:2" ht="37.950000000000003" customHeight="1">
      <c r="A12" s="160" t="s">
        <v>448</v>
      </c>
      <c r="B12" s="160">
        <f>(B4*Exch_rates!C15)/IMF!F34</f>
        <v>18941806.980952248</v>
      </c>
    </row>
    <row r="13" spans="1:2" ht="34.049999999999997" customHeight="1">
      <c r="A13" s="160" t="s">
        <v>447</v>
      </c>
      <c r="B13" s="160">
        <f>(B5*Exch_rates!C10)/IMF!F55</f>
        <v>233057955.3635709</v>
      </c>
    </row>
    <row r="14" spans="1:2" ht="37.950000000000003" customHeight="1">
      <c r="A14" s="160" t="s">
        <v>279</v>
      </c>
      <c r="B14" s="160">
        <f>(B6*Exch_rates!G5)/IMF!F69</f>
        <v>1628424607.033812</v>
      </c>
    </row>
  </sheetData>
  <mergeCells count="3">
    <mergeCell ref="A2:B2"/>
    <mergeCell ref="A3:B3"/>
    <mergeCell ref="A11:B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399A-23A1-954C-BD23-24E075E88FFB}">
  <dimension ref="A2:J247"/>
  <sheetViews>
    <sheetView zoomScale="80" zoomScaleNormal="80" workbookViewId="0">
      <pane xSplit="1" ySplit="3" topLeftCell="B4" activePane="bottomRight" state="frozen"/>
      <selection pane="topRight" activeCell="B1" sqref="B1"/>
      <selection pane="bottomLeft" activeCell="A4" sqref="A4"/>
      <selection pane="bottomRight" activeCell="G47" sqref="G47"/>
    </sheetView>
  </sheetViews>
  <sheetFormatPr defaultColWidth="10.796875" defaultRowHeight="15.6"/>
  <cols>
    <col min="1" max="1" width="28.296875" style="3" customWidth="1"/>
    <col min="2" max="2" width="24.19921875" style="3" customWidth="1"/>
    <col min="3" max="3" width="21.69921875" style="3" customWidth="1"/>
    <col min="4" max="5" width="22" style="3" customWidth="1"/>
    <col min="6" max="6" width="27.296875" style="3" customWidth="1"/>
    <col min="7" max="7" width="29.296875" style="3" customWidth="1"/>
    <col min="8" max="8" width="24.796875" style="3" customWidth="1"/>
    <col min="9" max="9" width="23.5" style="3" customWidth="1"/>
    <col min="10" max="10" width="23" style="3" customWidth="1"/>
    <col min="11" max="16384" width="10.796875" style="3"/>
  </cols>
  <sheetData>
    <row r="2" spans="1:10" ht="46.8">
      <c r="A2" s="127"/>
      <c r="B2" s="508" t="s">
        <v>305</v>
      </c>
      <c r="C2" s="508"/>
      <c r="D2" s="508"/>
      <c r="E2" s="508"/>
      <c r="F2" s="115" t="s">
        <v>154</v>
      </c>
      <c r="G2" s="597" t="s">
        <v>165</v>
      </c>
      <c r="H2" s="597"/>
      <c r="I2" s="597"/>
      <c r="J2" s="597"/>
    </row>
    <row r="3" spans="1:10" ht="19.95" customHeight="1">
      <c r="A3" s="128"/>
      <c r="B3" s="61">
        <v>2019</v>
      </c>
      <c r="C3" s="61">
        <v>2021</v>
      </c>
      <c r="D3" s="61">
        <v>2022</v>
      </c>
      <c r="E3" s="61">
        <v>2023</v>
      </c>
      <c r="F3" s="118">
        <v>2020</v>
      </c>
      <c r="G3" s="117">
        <v>2020</v>
      </c>
      <c r="H3" s="117">
        <v>2021</v>
      </c>
      <c r="I3" s="117">
        <v>2022</v>
      </c>
      <c r="J3" s="117">
        <v>2023</v>
      </c>
    </row>
    <row r="4" spans="1:10" ht="19.95" customHeight="1">
      <c r="A4" s="124" t="s">
        <v>270</v>
      </c>
      <c r="B4" s="215"/>
      <c r="C4" s="114"/>
      <c r="D4" s="114"/>
      <c r="E4" s="114"/>
      <c r="F4" s="123"/>
      <c r="G4" s="119">
        <f>489.697*1000000000</f>
        <v>489697000000</v>
      </c>
      <c r="H4" s="119"/>
      <c r="I4" s="119"/>
      <c r="J4" s="119"/>
    </row>
    <row r="5" spans="1:10" ht="19.95" customHeight="1">
      <c r="A5" s="124" t="s">
        <v>269</v>
      </c>
      <c r="B5" s="215"/>
      <c r="C5" s="114"/>
      <c r="D5" s="114"/>
      <c r="E5" s="114"/>
      <c r="F5" s="123"/>
      <c r="G5" s="119">
        <f>212.676*1000000000</f>
        <v>212676000000</v>
      </c>
      <c r="H5" s="119"/>
      <c r="I5" s="119"/>
      <c r="J5" s="119"/>
    </row>
    <row r="6" spans="1:10" ht="19.95" customHeight="1">
      <c r="A6" s="124" t="s">
        <v>287</v>
      </c>
      <c r="B6" s="215"/>
      <c r="C6" s="114"/>
      <c r="D6" s="114"/>
      <c r="E6" s="114"/>
      <c r="F6" s="123">
        <v>0.76800000000000002</v>
      </c>
      <c r="G6" s="119">
        <f>599.045*1000000000</f>
        <v>599045000000</v>
      </c>
      <c r="H6" s="119"/>
      <c r="I6" s="119"/>
      <c r="J6" s="119"/>
    </row>
    <row r="7" spans="1:10" ht="19.95" customHeight="1">
      <c r="A7" s="124" t="s">
        <v>268</v>
      </c>
      <c r="B7" s="215"/>
      <c r="C7" s="114"/>
      <c r="D7" s="114"/>
      <c r="E7" s="114"/>
      <c r="F7" s="123"/>
      <c r="G7" s="119">
        <f>42.544*1000000000</f>
        <v>42544000000</v>
      </c>
      <c r="H7" s="119"/>
      <c r="I7" s="119"/>
      <c r="J7" s="119"/>
    </row>
    <row r="8" spans="1:10" ht="19.95" customHeight="1">
      <c r="A8" s="124" t="s">
        <v>267</v>
      </c>
      <c r="B8" s="215"/>
      <c r="C8" s="114"/>
      <c r="D8" s="114"/>
      <c r="E8" s="114"/>
      <c r="F8" s="123"/>
      <c r="G8" s="119">
        <f>36.425*1000000000</f>
        <v>36425000000</v>
      </c>
      <c r="H8" s="119"/>
      <c r="I8" s="119"/>
      <c r="J8" s="119"/>
    </row>
    <row r="9" spans="1:10" ht="19.95" customHeight="1">
      <c r="A9" s="122" t="s">
        <v>315</v>
      </c>
      <c r="B9" s="176"/>
      <c r="C9" s="114"/>
      <c r="D9" s="114"/>
      <c r="E9" s="114"/>
      <c r="F9" s="123"/>
      <c r="G9" s="119">
        <f>3176.646*1000000000</f>
        <v>3176646000000</v>
      </c>
      <c r="H9" s="119"/>
      <c r="I9" s="119"/>
      <c r="J9" s="119"/>
    </row>
    <row r="10" spans="1:10" ht="19.95" customHeight="1">
      <c r="A10" s="125" t="s">
        <v>266</v>
      </c>
      <c r="B10" s="216"/>
      <c r="C10" s="114"/>
      <c r="D10" s="114"/>
      <c r="E10" s="114"/>
      <c r="F10" s="123"/>
      <c r="G10" s="119">
        <f>47.835*1000000000</f>
        <v>47835000000</v>
      </c>
      <c r="H10" s="119"/>
      <c r="I10" s="119"/>
      <c r="J10" s="119"/>
    </row>
    <row r="11" spans="1:10" ht="19.95" customHeight="1">
      <c r="A11" s="125" t="s">
        <v>265</v>
      </c>
      <c r="B11" s="216"/>
      <c r="C11" s="114"/>
      <c r="D11" s="114"/>
      <c r="E11" s="114"/>
      <c r="F11" s="123"/>
      <c r="G11" s="119">
        <f>9.183*1000000000</f>
        <v>9183000000</v>
      </c>
      <c r="H11" s="119"/>
      <c r="I11" s="119"/>
      <c r="J11" s="119"/>
    </row>
    <row r="12" spans="1:10" ht="19.95" customHeight="1">
      <c r="A12" s="125" t="s">
        <v>264</v>
      </c>
      <c r="B12" s="216"/>
      <c r="C12" s="114"/>
      <c r="D12" s="114"/>
      <c r="E12" s="114"/>
      <c r="F12" s="123"/>
      <c r="G12" s="119">
        <f>102.841*1000000000</f>
        <v>102841000000</v>
      </c>
      <c r="H12" s="119"/>
      <c r="I12" s="119"/>
      <c r="J12" s="119"/>
    </row>
    <row r="13" spans="1:10" ht="19.95" customHeight="1">
      <c r="A13" s="122" t="s">
        <v>312</v>
      </c>
      <c r="B13" s="176">
        <v>1.01949</v>
      </c>
      <c r="C13" s="114">
        <v>1.0340100000000001</v>
      </c>
      <c r="D13" s="114">
        <v>1.0679700000000001</v>
      </c>
      <c r="E13" s="114"/>
      <c r="F13" s="123">
        <v>1.1850000000000001</v>
      </c>
      <c r="G13" s="119">
        <f>1865.198*1000000000</f>
        <v>1865198000000</v>
      </c>
      <c r="H13" s="119">
        <f>2046.66*1000000000</f>
        <v>2046660000000</v>
      </c>
      <c r="I13" s="119">
        <f>2265.32*1000000000</f>
        <v>2265320000000</v>
      </c>
      <c r="J13" s="119"/>
    </row>
    <row r="14" spans="1:10" ht="19.95" customHeight="1">
      <c r="A14" s="125" t="s">
        <v>263</v>
      </c>
      <c r="B14" s="216"/>
      <c r="C14" s="114"/>
      <c r="D14" s="114"/>
      <c r="E14" s="114"/>
      <c r="F14" s="123"/>
      <c r="G14" s="119">
        <f>3.794*1000000000</f>
        <v>3794000000</v>
      </c>
      <c r="H14" s="119"/>
      <c r="I14" s="119"/>
      <c r="J14" s="119"/>
    </row>
    <row r="15" spans="1:10" ht="19.95" customHeight="1">
      <c r="A15" s="124" t="s">
        <v>262</v>
      </c>
      <c r="B15" s="215"/>
      <c r="C15" s="114"/>
      <c r="D15" s="114"/>
      <c r="E15" s="114"/>
      <c r="F15" s="123"/>
      <c r="G15" s="119">
        <f>4.782*1000000000</f>
        <v>4782000000</v>
      </c>
      <c r="H15" s="119"/>
      <c r="I15" s="119"/>
      <c r="J15" s="119"/>
    </row>
    <row r="16" spans="1:10" ht="19.95" customHeight="1">
      <c r="A16" s="124" t="s">
        <v>261</v>
      </c>
      <c r="B16" s="215"/>
      <c r="C16" s="114"/>
      <c r="D16" s="114"/>
      <c r="E16" s="114"/>
      <c r="F16" s="123"/>
      <c r="G16" s="119">
        <f>26.284*1000000000</f>
        <v>26284000000</v>
      </c>
      <c r="H16" s="119"/>
      <c r="I16" s="119"/>
      <c r="J16" s="119"/>
    </row>
    <row r="17" spans="1:10" ht="19.95" customHeight="1">
      <c r="A17" s="120" t="s">
        <v>309</v>
      </c>
      <c r="B17" s="61"/>
      <c r="C17" s="114"/>
      <c r="D17" s="114"/>
      <c r="E17" s="114"/>
      <c r="F17" s="123">
        <v>4.2389999999999999</v>
      </c>
      <c r="G17" s="119">
        <f>24196.274*1000000000</f>
        <v>24196274000000</v>
      </c>
      <c r="H17" s="119"/>
      <c r="I17" s="119"/>
      <c r="J17" s="119"/>
    </row>
    <row r="18" spans="1:10" ht="19.95" customHeight="1">
      <c r="A18" s="124" t="s">
        <v>260</v>
      </c>
      <c r="B18" s="215"/>
      <c r="C18" s="114"/>
      <c r="D18" s="114"/>
      <c r="E18" s="114"/>
      <c r="F18" s="123"/>
      <c r="G18" s="119">
        <f>2.743*1000000000</f>
        <v>2743000000</v>
      </c>
      <c r="H18" s="119"/>
      <c r="I18" s="119"/>
      <c r="J18" s="119"/>
    </row>
    <row r="19" spans="1:10" ht="19.95" customHeight="1">
      <c r="A19" s="124" t="s">
        <v>259</v>
      </c>
      <c r="B19" s="215"/>
      <c r="C19" s="114"/>
      <c r="D19" s="114"/>
      <c r="E19" s="114"/>
      <c r="F19" s="123"/>
      <c r="G19" s="119">
        <f>144.177*1000000000</f>
        <v>144177000000</v>
      </c>
      <c r="H19" s="119"/>
      <c r="I19" s="119"/>
      <c r="J19" s="119"/>
    </row>
    <row r="20" spans="1:10" ht="19.95" customHeight="1">
      <c r="A20" s="121" t="s">
        <v>306</v>
      </c>
      <c r="B20" s="37"/>
      <c r="C20" s="114">
        <v>1.0384</v>
      </c>
      <c r="D20" s="114">
        <v>1.151</v>
      </c>
      <c r="E20" s="114"/>
      <c r="F20" s="123">
        <v>13.029</v>
      </c>
      <c r="G20" s="119">
        <f>438.19*1000000000</f>
        <v>438190000000</v>
      </c>
      <c r="H20" s="119">
        <f>474.141*1000000000</f>
        <v>474141000000</v>
      </c>
      <c r="I20" s="119">
        <f>519.238*1000000000</f>
        <v>519238000000.00006</v>
      </c>
      <c r="J20" s="119"/>
    </row>
    <row r="21" spans="1:10" ht="19.95" customHeight="1">
      <c r="A21" s="124" t="s">
        <v>258</v>
      </c>
      <c r="B21" s="215"/>
      <c r="C21" s="114"/>
      <c r="D21" s="114"/>
      <c r="E21" s="114"/>
      <c r="F21" s="123"/>
      <c r="G21" s="119">
        <f>105.399*1000000000</f>
        <v>105399000000</v>
      </c>
      <c r="H21" s="119"/>
      <c r="I21" s="119"/>
      <c r="J21" s="119"/>
    </row>
    <row r="22" spans="1:10" ht="19.95" customHeight="1">
      <c r="A22" s="124" t="s">
        <v>257</v>
      </c>
      <c r="B22" s="215"/>
      <c r="C22" s="114"/>
      <c r="D22" s="114"/>
      <c r="E22" s="114"/>
      <c r="F22" s="123"/>
      <c r="G22" s="119">
        <f>5.479*1000000000</f>
        <v>5479000000</v>
      </c>
      <c r="H22" s="119"/>
      <c r="I22" s="119"/>
      <c r="J22" s="119"/>
    </row>
    <row r="23" spans="1:10" ht="19.95" customHeight="1">
      <c r="A23" s="124" t="s">
        <v>256</v>
      </c>
      <c r="B23" s="215"/>
      <c r="C23" s="114"/>
      <c r="D23" s="114"/>
      <c r="E23" s="114"/>
      <c r="F23" s="123"/>
      <c r="G23" s="119">
        <f>1360.834*1000000000</f>
        <v>1360834000000</v>
      </c>
      <c r="H23" s="119"/>
      <c r="I23" s="119"/>
      <c r="J23" s="119"/>
    </row>
    <row r="24" spans="1:10" ht="19.95" customHeight="1">
      <c r="A24" s="124" t="s">
        <v>255</v>
      </c>
      <c r="B24" s="215"/>
      <c r="C24" s="114"/>
      <c r="D24" s="114"/>
      <c r="E24" s="114"/>
      <c r="F24" s="123"/>
      <c r="G24" s="119">
        <f>25.359*1000000000</f>
        <v>25359000000</v>
      </c>
      <c r="H24" s="119"/>
      <c r="I24" s="119"/>
      <c r="J24" s="119"/>
    </row>
    <row r="25" spans="1:10" ht="19.95" customHeight="1">
      <c r="A25" s="124" t="s">
        <v>254</v>
      </c>
      <c r="B25" s="215"/>
      <c r="C25" s="114"/>
      <c r="D25" s="114"/>
      <c r="E25" s="114"/>
      <c r="F25" s="123"/>
      <c r="G25" s="119" t="s">
        <v>114</v>
      </c>
      <c r="H25" s="119"/>
      <c r="I25" s="119"/>
      <c r="J25" s="119"/>
    </row>
    <row r="26" spans="1:10" ht="19.95" customHeight="1">
      <c r="A26" s="124" t="s">
        <v>253</v>
      </c>
      <c r="B26" s="215"/>
      <c r="C26" s="114"/>
      <c r="D26" s="114"/>
      <c r="E26" s="114"/>
      <c r="F26" s="123"/>
      <c r="G26" s="119">
        <f>282.904*1000000000</f>
        <v>282904000000</v>
      </c>
      <c r="H26" s="119"/>
      <c r="I26" s="119"/>
      <c r="J26" s="119"/>
    </row>
    <row r="27" spans="1:10" ht="19.95" customHeight="1">
      <c r="A27" s="124" t="s">
        <v>286</v>
      </c>
      <c r="B27" s="215"/>
      <c r="C27" s="114"/>
      <c r="D27" s="114"/>
      <c r="E27" s="114"/>
      <c r="F27" s="123">
        <v>0.76500000000000001</v>
      </c>
      <c r="G27" s="119">
        <f>3031.366*1000000000</f>
        <v>3031366000000</v>
      </c>
      <c r="H27" s="119"/>
      <c r="I27" s="119"/>
      <c r="J27" s="119"/>
    </row>
    <row r="28" spans="1:10" ht="19.95" customHeight="1">
      <c r="A28" s="124" t="s">
        <v>252</v>
      </c>
      <c r="B28" s="215"/>
      <c r="C28" s="114"/>
      <c r="D28" s="114"/>
      <c r="E28" s="114"/>
      <c r="F28" s="123"/>
      <c r="G28" s="119">
        <f>33.66*1000000000</f>
        <v>33659999999.999996</v>
      </c>
      <c r="H28" s="119"/>
      <c r="I28" s="119"/>
      <c r="J28" s="119"/>
    </row>
    <row r="29" spans="1:10">
      <c r="A29" s="124" t="s">
        <v>251</v>
      </c>
      <c r="B29" s="215"/>
      <c r="C29" s="114"/>
      <c r="D29" s="114"/>
      <c r="E29" s="114"/>
      <c r="F29" s="123"/>
      <c r="G29" s="119">
        <f>5.552*1000000000</f>
        <v>5552000000</v>
      </c>
      <c r="H29" s="119"/>
      <c r="I29" s="119"/>
      <c r="J29" s="119"/>
    </row>
    <row r="30" spans="1:10">
      <c r="A30" s="120" t="s">
        <v>285</v>
      </c>
      <c r="B30" s="61"/>
      <c r="C30" s="114">
        <v>1.0321199999999999</v>
      </c>
      <c r="D30" s="114"/>
      <c r="E30" s="114"/>
      <c r="F30" s="123">
        <v>0.74399999999999999</v>
      </c>
      <c r="G30" s="119">
        <f>4572.957*1000000000</f>
        <v>4572957000000</v>
      </c>
      <c r="H30" s="119">
        <f>4929.779*1000000000</f>
        <v>4929779000000</v>
      </c>
      <c r="I30" s="119"/>
      <c r="J30" s="119"/>
    </row>
    <row r="31" spans="1:10">
      <c r="A31" s="124" t="s">
        <v>250</v>
      </c>
      <c r="B31" s="215"/>
      <c r="C31" s="114"/>
      <c r="D31" s="114"/>
      <c r="E31" s="114"/>
      <c r="F31" s="123"/>
      <c r="G31" s="119">
        <f>178.87*1000000000</f>
        <v>178870000000</v>
      </c>
      <c r="H31" s="119"/>
      <c r="I31" s="119"/>
      <c r="J31" s="119"/>
    </row>
    <row r="32" spans="1:10">
      <c r="A32" s="124" t="s">
        <v>249</v>
      </c>
      <c r="B32" s="215"/>
      <c r="C32" s="114"/>
      <c r="D32" s="114"/>
      <c r="E32" s="114"/>
      <c r="F32" s="123"/>
      <c r="G32" s="119">
        <f>36.239*1000000000</f>
        <v>36239000000</v>
      </c>
      <c r="H32" s="119"/>
      <c r="I32" s="119"/>
      <c r="J32" s="119"/>
    </row>
    <row r="33" spans="1:10">
      <c r="A33" s="124" t="s">
        <v>248</v>
      </c>
      <c r="B33" s="215"/>
      <c r="C33" s="114"/>
      <c r="D33" s="114"/>
      <c r="E33" s="114"/>
      <c r="F33" s="123"/>
      <c r="G33" s="119">
        <f>4.454*1000000000</f>
        <v>4454000000</v>
      </c>
      <c r="H33" s="119"/>
      <c r="I33" s="119"/>
      <c r="J33" s="119"/>
    </row>
    <row r="34" spans="1:10">
      <c r="A34" s="124" t="s">
        <v>448</v>
      </c>
      <c r="B34" s="215"/>
      <c r="C34" s="114">
        <v>1.0445800000000001</v>
      </c>
      <c r="D34" s="114"/>
      <c r="E34" s="114"/>
      <c r="F34" s="123">
        <v>144.79400000000001</v>
      </c>
      <c r="G34" s="119">
        <f>20.17*1000000000</f>
        <v>20170000000</v>
      </c>
      <c r="H34" s="119">
        <f>22.026*1000000000</f>
        <v>22026000000</v>
      </c>
      <c r="I34" s="119"/>
      <c r="J34" s="119"/>
    </row>
    <row r="35" spans="1:10">
      <c r="A35" s="120" t="s">
        <v>310</v>
      </c>
      <c r="B35" s="61"/>
      <c r="C35" s="114">
        <v>1.05507</v>
      </c>
      <c r="D35" s="114">
        <v>1.0666100000000001</v>
      </c>
      <c r="E35" s="114"/>
      <c r="F35" s="123">
        <v>21.788</v>
      </c>
      <c r="G35" s="119">
        <f>9101.313*1000000000</f>
        <v>9101313000000</v>
      </c>
      <c r="H35" s="119">
        <f>10370.82*1000000000</f>
        <v>10370820000000</v>
      </c>
      <c r="I35" s="119">
        <f>11900.71*1000000000</f>
        <v>11900710000000</v>
      </c>
      <c r="J35" s="119"/>
    </row>
    <row r="36" spans="1:10">
      <c r="A36" s="120" t="s">
        <v>314</v>
      </c>
      <c r="B36" s="61"/>
      <c r="C36" s="114"/>
      <c r="D36" s="114"/>
      <c r="E36" s="114"/>
      <c r="F36" s="123"/>
      <c r="G36" s="119">
        <f>1330.369*1000000000</f>
        <v>1330369000000</v>
      </c>
      <c r="H36" s="119"/>
      <c r="I36" s="119"/>
      <c r="J36" s="119"/>
    </row>
    <row r="37" spans="1:10">
      <c r="A37" s="124" t="s">
        <v>283</v>
      </c>
      <c r="B37" s="215"/>
      <c r="C37" s="114"/>
      <c r="D37" s="114"/>
      <c r="E37" s="114"/>
      <c r="F37" s="123">
        <v>0.67400000000000004</v>
      </c>
      <c r="G37" s="119">
        <f>2465.705*1000000000</f>
        <v>2465705000000</v>
      </c>
      <c r="H37" s="119"/>
      <c r="I37" s="119"/>
      <c r="J37" s="119"/>
    </row>
    <row r="38" spans="1:10">
      <c r="A38" s="120" t="s">
        <v>316</v>
      </c>
      <c r="B38" s="61"/>
      <c r="C38" s="114"/>
      <c r="D38" s="114"/>
      <c r="E38" s="114"/>
      <c r="F38" s="123"/>
      <c r="G38" s="119">
        <f>5319.946*1000000000</f>
        <v>5319946000000</v>
      </c>
      <c r="H38" s="119"/>
      <c r="I38" s="119"/>
      <c r="J38" s="119"/>
    </row>
    <row r="39" spans="1:10">
      <c r="A39" s="124" t="s">
        <v>247</v>
      </c>
      <c r="B39" s="215"/>
      <c r="C39" s="114">
        <v>1.0610900000000001</v>
      </c>
      <c r="D39" s="114">
        <v>1.0764800000000001</v>
      </c>
      <c r="E39" s="114"/>
      <c r="F39" s="123"/>
      <c r="G39" s="119">
        <f>246.948*1000000000</f>
        <v>246948000000</v>
      </c>
      <c r="H39" s="119">
        <f>277.627*1000000000</f>
        <v>277627000000</v>
      </c>
      <c r="I39" s="119">
        <f>311.473*1000000000</f>
        <v>311473000000</v>
      </c>
      <c r="J39" s="119"/>
    </row>
    <row r="40" spans="1:10">
      <c r="A40" s="124" t="s">
        <v>246</v>
      </c>
      <c r="B40" s="215"/>
      <c r="C40" s="114"/>
      <c r="D40" s="114"/>
      <c r="E40" s="114"/>
      <c r="F40" s="123"/>
      <c r="G40" s="119">
        <f>5.619*1000000000</f>
        <v>5619000000</v>
      </c>
      <c r="H40" s="119"/>
      <c r="I40" s="119"/>
      <c r="J40" s="119"/>
    </row>
    <row r="41" spans="1:10">
      <c r="A41" s="124" t="s">
        <v>245</v>
      </c>
      <c r="B41" s="215"/>
      <c r="C41" s="114"/>
      <c r="D41" s="114"/>
      <c r="E41" s="114"/>
      <c r="F41" s="123"/>
      <c r="G41" s="119">
        <f>7.285*1000000000</f>
        <v>7285000000</v>
      </c>
      <c r="H41" s="119"/>
      <c r="I41" s="119"/>
      <c r="J41" s="119"/>
    </row>
    <row r="42" spans="1:10">
      <c r="A42" s="124" t="s">
        <v>244</v>
      </c>
      <c r="B42" s="215"/>
      <c r="C42" s="114"/>
      <c r="D42" s="114"/>
      <c r="E42" s="114"/>
      <c r="F42" s="123"/>
      <c r="G42" s="119">
        <f>110.281*1000000000</f>
        <v>110281000000</v>
      </c>
      <c r="H42" s="119"/>
      <c r="I42" s="119"/>
      <c r="J42" s="119"/>
    </row>
    <row r="43" spans="1:10">
      <c r="A43" s="124" t="s">
        <v>243</v>
      </c>
      <c r="B43" s="215"/>
      <c r="C43" s="114">
        <v>1.05819</v>
      </c>
      <c r="D43" s="114">
        <v>1.0815699999999999</v>
      </c>
      <c r="E43" s="114">
        <v>1.105</v>
      </c>
      <c r="F43" s="123"/>
      <c r="G43" s="119">
        <f>42.808*1000000000</f>
        <v>42808000000</v>
      </c>
      <c r="H43" s="119">
        <f>47.298*1000000000</f>
        <v>47298000000</v>
      </c>
      <c r="I43" s="119">
        <f>52.636*1000000000</f>
        <v>52636000000</v>
      </c>
      <c r="J43" s="119">
        <f>56.754*1000000000</f>
        <v>56754000000</v>
      </c>
    </row>
    <row r="44" spans="1:10">
      <c r="A44" s="124" t="s">
        <v>242</v>
      </c>
      <c r="B44" s="215"/>
      <c r="C44" s="114"/>
      <c r="D44" s="114"/>
      <c r="E44" s="114"/>
      <c r="F44" s="123"/>
      <c r="G44" s="119">
        <f>30.515*1000000000</f>
        <v>30515000000</v>
      </c>
      <c r="H44" s="119"/>
      <c r="I44" s="119"/>
      <c r="J44" s="119"/>
    </row>
    <row r="45" spans="1:10">
      <c r="A45" s="124" t="s">
        <v>241</v>
      </c>
      <c r="B45" s="215"/>
      <c r="C45" s="114"/>
      <c r="D45" s="114"/>
      <c r="E45" s="114"/>
      <c r="F45" s="123"/>
      <c r="G45" s="119">
        <f>47.6*1000000000</f>
        <v>47600000000</v>
      </c>
      <c r="H45" s="119"/>
      <c r="I45" s="119"/>
      <c r="J45" s="119"/>
    </row>
    <row r="46" spans="1:10">
      <c r="A46" s="124" t="s">
        <v>240</v>
      </c>
      <c r="B46" s="215"/>
      <c r="C46" s="114"/>
      <c r="D46" s="114"/>
      <c r="E46" s="114"/>
      <c r="F46" s="123"/>
      <c r="G46" s="119">
        <f>25.28*1000000000</f>
        <v>25280000000</v>
      </c>
      <c r="H46" s="119"/>
      <c r="I46" s="119"/>
      <c r="J46" s="119"/>
    </row>
    <row r="47" spans="1:10">
      <c r="A47" s="124" t="s">
        <v>239</v>
      </c>
      <c r="B47" s="215"/>
      <c r="C47" s="114"/>
      <c r="D47" s="114"/>
      <c r="E47" s="114"/>
      <c r="F47" s="123"/>
      <c r="G47" s="119">
        <f>27.032*1000000000</f>
        <v>27032000000</v>
      </c>
      <c r="H47" s="119"/>
      <c r="I47" s="119"/>
      <c r="J47" s="119"/>
    </row>
    <row r="48" spans="1:10">
      <c r="A48" s="120" t="s">
        <v>307</v>
      </c>
      <c r="B48" s="61"/>
      <c r="C48" s="114"/>
      <c r="D48" s="114"/>
      <c r="E48" s="114"/>
      <c r="F48" s="123">
        <v>922.78800000000001</v>
      </c>
      <c r="G48" s="119">
        <f>40.587*1000000000</f>
        <v>40587000000</v>
      </c>
      <c r="H48" s="119"/>
      <c r="I48" s="119"/>
      <c r="J48" s="119"/>
    </row>
    <row r="49" spans="1:10">
      <c r="A49" s="124" t="s">
        <v>238</v>
      </c>
      <c r="B49" s="215"/>
      <c r="C49" s="114"/>
      <c r="D49" s="114"/>
      <c r="E49" s="114"/>
      <c r="F49" s="123"/>
      <c r="G49" s="119">
        <f>296.82*1000000000</f>
        <v>296820000000</v>
      </c>
      <c r="H49" s="119"/>
      <c r="I49" s="119"/>
      <c r="J49" s="119"/>
    </row>
    <row r="50" spans="1:10">
      <c r="A50" s="124" t="s">
        <v>237</v>
      </c>
      <c r="B50" s="215"/>
      <c r="C50" s="114"/>
      <c r="D50" s="114"/>
      <c r="E50" s="114"/>
      <c r="F50" s="123"/>
      <c r="G50" s="119">
        <f>40.61*1000000000</f>
        <v>40610000000</v>
      </c>
      <c r="H50" s="119"/>
      <c r="I50" s="119"/>
      <c r="J50" s="119"/>
    </row>
    <row r="51" spans="1:10">
      <c r="A51" s="124" t="s">
        <v>236</v>
      </c>
      <c r="B51" s="215"/>
      <c r="C51" s="114"/>
      <c r="D51" s="114"/>
      <c r="E51" s="114"/>
      <c r="F51" s="123"/>
      <c r="G51" s="119">
        <f>23.766*1000000000</f>
        <v>23766000000</v>
      </c>
      <c r="H51" s="119"/>
      <c r="I51" s="119"/>
      <c r="J51" s="119"/>
    </row>
    <row r="52" spans="1:10">
      <c r="A52" s="124" t="s">
        <v>282</v>
      </c>
      <c r="B52" s="215"/>
      <c r="C52" s="114"/>
      <c r="D52" s="114"/>
      <c r="E52" s="114"/>
      <c r="F52" s="123">
        <v>0.79300000000000004</v>
      </c>
      <c r="G52" s="119">
        <f>1004.383*1000000000</f>
        <v>1004383000000</v>
      </c>
      <c r="H52" s="119"/>
      <c r="I52" s="119"/>
      <c r="J52" s="119"/>
    </row>
    <row r="53" spans="1:10">
      <c r="A53" s="124" t="s">
        <v>235</v>
      </c>
      <c r="B53" s="215"/>
      <c r="C53" s="114"/>
      <c r="D53" s="114"/>
      <c r="E53" s="114"/>
      <c r="F53" s="123"/>
      <c r="G53" s="119">
        <f>31.21*1000000000</f>
        <v>31210000000</v>
      </c>
      <c r="H53" s="119"/>
      <c r="I53" s="119"/>
      <c r="J53" s="119"/>
    </row>
    <row r="54" spans="1:10">
      <c r="A54" s="124" t="s">
        <v>234</v>
      </c>
      <c r="B54" s="215"/>
      <c r="C54" s="114"/>
      <c r="D54" s="114"/>
      <c r="E54" s="114"/>
      <c r="F54" s="123"/>
      <c r="G54" s="119">
        <f>1070.302*1000000000</f>
        <v>1070301999999.9999</v>
      </c>
      <c r="H54" s="119"/>
      <c r="I54" s="119"/>
      <c r="J54" s="119"/>
    </row>
    <row r="55" spans="1:10">
      <c r="A55" s="124" t="s">
        <v>447</v>
      </c>
      <c r="B55" s="215"/>
      <c r="C55" s="114">
        <v>1.03484</v>
      </c>
      <c r="D55" s="114"/>
      <c r="E55" s="114"/>
      <c r="F55" s="123">
        <v>9.7230000000000008</v>
      </c>
      <c r="G55" s="119">
        <f>356.02*1000000000</f>
        <v>356020000000</v>
      </c>
      <c r="H55" s="119">
        <f>386.514*1000000000</f>
        <v>386514000000</v>
      </c>
      <c r="I55" s="119"/>
      <c r="J55" s="119"/>
    </row>
    <row r="56" spans="1:10">
      <c r="A56" s="124" t="s">
        <v>281</v>
      </c>
      <c r="B56" s="215"/>
      <c r="C56" s="114"/>
      <c r="D56" s="114"/>
      <c r="E56" s="114"/>
      <c r="F56" s="123">
        <v>0.57499999999999996</v>
      </c>
      <c r="G56" s="119">
        <f>348.521*1000000000</f>
        <v>348521000000</v>
      </c>
      <c r="H56" s="119"/>
      <c r="I56" s="119"/>
      <c r="J56" s="119"/>
    </row>
    <row r="57" spans="1:10">
      <c r="A57" s="124" t="s">
        <v>317</v>
      </c>
      <c r="B57" s="215"/>
      <c r="C57" s="114"/>
      <c r="D57" s="114"/>
      <c r="E57" s="114"/>
      <c r="F57" s="123"/>
      <c r="G57" s="119">
        <f>22.574*1000000000</f>
        <v>22574000000</v>
      </c>
      <c r="H57" s="119"/>
      <c r="I57" s="119"/>
      <c r="J57" s="119"/>
    </row>
    <row r="58" spans="1:10">
      <c r="A58" s="124" t="s">
        <v>233</v>
      </c>
      <c r="B58" s="215"/>
      <c r="C58" s="114"/>
      <c r="D58" s="114"/>
      <c r="E58" s="114"/>
      <c r="F58" s="123"/>
      <c r="G58" s="119">
        <f>28.69*1000000000</f>
        <v>28690000000</v>
      </c>
      <c r="H58" s="119"/>
      <c r="I58" s="119"/>
      <c r="J58" s="119"/>
    </row>
    <row r="59" spans="1:10">
      <c r="A59" s="124" t="s">
        <v>232</v>
      </c>
      <c r="B59" s="215"/>
      <c r="C59" s="114"/>
      <c r="D59" s="114"/>
      <c r="E59" s="114"/>
      <c r="F59" s="123"/>
      <c r="G59" s="119">
        <f>0.81*1000000000</f>
        <v>810000000</v>
      </c>
      <c r="H59" s="119"/>
      <c r="I59" s="119"/>
      <c r="J59" s="119"/>
    </row>
    <row r="60" spans="1:10">
      <c r="A60" s="124" t="s">
        <v>231</v>
      </c>
      <c r="B60" s="215"/>
      <c r="C60" s="114"/>
      <c r="D60" s="114"/>
      <c r="E60" s="114"/>
      <c r="F60" s="123"/>
      <c r="G60" s="119">
        <f>58.743*1000000000</f>
        <v>58743000000</v>
      </c>
      <c r="H60" s="119"/>
      <c r="I60" s="119"/>
      <c r="J60" s="119"/>
    </row>
    <row r="61" spans="1:10">
      <c r="A61" s="124" t="s">
        <v>230</v>
      </c>
      <c r="B61" s="215"/>
      <c r="C61" s="114"/>
      <c r="D61" s="114"/>
      <c r="E61" s="114"/>
      <c r="F61" s="123"/>
      <c r="G61" s="119">
        <f>3.096*1000000000</f>
        <v>3096000000</v>
      </c>
      <c r="H61" s="119"/>
      <c r="I61" s="119"/>
      <c r="J61" s="119"/>
    </row>
    <row r="62" spans="1:10">
      <c r="A62" s="124" t="s">
        <v>229</v>
      </c>
      <c r="B62" s="215"/>
      <c r="C62" s="114"/>
      <c r="D62" s="114"/>
      <c r="E62" s="114"/>
      <c r="F62" s="123"/>
      <c r="G62" s="119">
        <f>13.792*1000000000</f>
        <v>13792000000</v>
      </c>
      <c r="H62" s="119"/>
      <c r="I62" s="119"/>
      <c r="J62" s="119"/>
    </row>
    <row r="63" spans="1:10">
      <c r="A63" s="124" t="s">
        <v>228</v>
      </c>
      <c r="B63" s="215"/>
      <c r="C63" s="114"/>
      <c r="D63" s="114"/>
      <c r="E63" s="114"/>
      <c r="F63" s="123"/>
      <c r="G63" s="119">
        <f>25.437*1000000000</f>
        <v>25437000000</v>
      </c>
      <c r="H63" s="119"/>
      <c r="I63" s="119"/>
      <c r="J63" s="119"/>
    </row>
    <row r="64" spans="1:10">
      <c r="A64" s="124" t="s">
        <v>227</v>
      </c>
      <c r="B64" s="215"/>
      <c r="C64" s="114">
        <v>1.0468299999999999</v>
      </c>
      <c r="D64" s="114">
        <v>1.07986</v>
      </c>
      <c r="E64" s="114"/>
      <c r="F64" s="123"/>
      <c r="G64" s="119">
        <f>798.957*1000000000</f>
        <v>798957000000</v>
      </c>
      <c r="H64" s="119">
        <f>874.109*1000000000</f>
        <v>874109000000</v>
      </c>
      <c r="I64" s="119">
        <f>953.209*1000000000</f>
        <v>953209000000</v>
      </c>
      <c r="J64" s="119"/>
    </row>
    <row r="65" spans="1:10">
      <c r="A65" s="124" t="s">
        <v>226</v>
      </c>
      <c r="B65" s="215"/>
      <c r="C65" s="114"/>
      <c r="D65" s="114"/>
      <c r="E65" s="114"/>
      <c r="F65" s="123"/>
      <c r="G65" s="119">
        <f>5.627*1000000000</f>
        <v>5627000000</v>
      </c>
      <c r="H65" s="119"/>
      <c r="I65" s="119"/>
      <c r="J65" s="119"/>
    </row>
    <row r="66" spans="1:10">
      <c r="A66" s="124" t="s">
        <v>280</v>
      </c>
      <c r="B66" s="215"/>
      <c r="C66" s="114"/>
      <c r="D66" s="114"/>
      <c r="E66" s="114"/>
      <c r="F66" s="123">
        <v>0.62</v>
      </c>
      <c r="G66" s="119">
        <f>1805.364*1000000000</f>
        <v>1805364000000</v>
      </c>
      <c r="H66" s="119"/>
      <c r="I66" s="119"/>
      <c r="J66" s="119"/>
    </row>
    <row r="67" spans="1:10">
      <c r="A67" s="124" t="s">
        <v>225</v>
      </c>
      <c r="B67" s="215"/>
      <c r="C67" s="114"/>
      <c r="D67" s="114"/>
      <c r="E67" s="114"/>
      <c r="F67" s="123"/>
      <c r="G67" s="119">
        <f>186.04*1000000000</f>
        <v>186040000000</v>
      </c>
      <c r="H67" s="119"/>
      <c r="I67" s="119"/>
      <c r="J67" s="119"/>
    </row>
    <row r="68" spans="1:10">
      <c r="A68" s="124" t="s">
        <v>224</v>
      </c>
      <c r="B68" s="215"/>
      <c r="C68" s="114"/>
      <c r="D68" s="114"/>
      <c r="E68" s="114"/>
      <c r="F68" s="123"/>
      <c r="G68" s="119">
        <f>10.336*1000000000</f>
        <v>10336000000</v>
      </c>
      <c r="H68" s="119"/>
      <c r="I68" s="119"/>
      <c r="J68" s="119"/>
    </row>
    <row r="69" spans="1:10">
      <c r="A69" s="124" t="s">
        <v>279</v>
      </c>
      <c r="B69" s="215"/>
      <c r="C69" s="114">
        <v>1.02654</v>
      </c>
      <c r="D69" s="114"/>
      <c r="E69" s="114"/>
      <c r="F69" s="123">
        <v>8.843</v>
      </c>
      <c r="G69" s="119">
        <f>569.77*1000000000</f>
        <v>569770000000</v>
      </c>
      <c r="H69" s="119">
        <f>631.961*1000000000</f>
        <v>631961000000</v>
      </c>
      <c r="I69" s="119"/>
      <c r="J69" s="119"/>
    </row>
    <row r="70" spans="1:10">
      <c r="A70" s="124" t="s">
        <v>278</v>
      </c>
      <c r="B70" s="215"/>
      <c r="C70" s="114"/>
      <c r="D70" s="114"/>
      <c r="E70" s="114"/>
      <c r="F70" s="123">
        <v>1.117</v>
      </c>
      <c r="G70" s="119">
        <f>623.105*1000000000</f>
        <v>623105000000</v>
      </c>
      <c r="H70" s="119"/>
      <c r="I70" s="119"/>
      <c r="J70" s="119"/>
    </row>
    <row r="71" spans="1:10">
      <c r="A71" s="124" t="s">
        <v>223</v>
      </c>
      <c r="B71" s="215"/>
      <c r="C71" s="114"/>
      <c r="D71" s="114"/>
      <c r="E71" s="114"/>
      <c r="F71" s="123"/>
      <c r="G71" s="119">
        <f>169.935*1000000000</f>
        <v>169935000000</v>
      </c>
      <c r="H71" s="119"/>
      <c r="I71" s="119"/>
      <c r="J71" s="119"/>
    </row>
    <row r="72" spans="1:10">
      <c r="A72" s="124" t="s">
        <v>222</v>
      </c>
      <c r="B72" s="215"/>
      <c r="C72" s="114"/>
      <c r="D72" s="114"/>
      <c r="E72" s="114"/>
      <c r="F72" s="123"/>
      <c r="G72" s="119">
        <f>18.32*1000000000</f>
        <v>18320000000</v>
      </c>
      <c r="H72" s="119"/>
      <c r="I72" s="119"/>
      <c r="J72" s="119"/>
    </row>
    <row r="73" spans="1:10">
      <c r="A73" s="124" t="s">
        <v>221</v>
      </c>
      <c r="B73" s="215"/>
      <c r="C73" s="114"/>
      <c r="D73" s="114"/>
      <c r="E73" s="114"/>
      <c r="F73" s="123"/>
      <c r="G73" s="119">
        <f>128.945*1000000000</f>
        <v>128945000000</v>
      </c>
      <c r="H73" s="119"/>
      <c r="I73" s="119"/>
      <c r="J73" s="119"/>
    </row>
    <row r="74" spans="1:10">
      <c r="A74" s="120" t="s">
        <v>308</v>
      </c>
      <c r="B74" s="61"/>
      <c r="C74" s="114"/>
      <c r="D74" s="114"/>
      <c r="E74" s="114"/>
      <c r="F74" s="123">
        <v>1.98</v>
      </c>
      <c r="G74" s="119">
        <f>2549.64*1000000000</f>
        <v>2549640000000</v>
      </c>
      <c r="H74" s="119"/>
      <c r="I74" s="119"/>
      <c r="J74" s="119"/>
    </row>
    <row r="75" spans="1:10">
      <c r="A75" s="124" t="s">
        <v>220</v>
      </c>
      <c r="B75" s="215"/>
      <c r="C75" s="114"/>
      <c r="D75" s="114"/>
      <c r="E75" s="114"/>
      <c r="F75" s="123"/>
      <c r="G75" s="119">
        <f>106.425*1000000000</f>
        <v>106425000000</v>
      </c>
      <c r="H75" s="119"/>
      <c r="I75" s="119"/>
      <c r="J75" s="119"/>
    </row>
    <row r="76" spans="1:10">
      <c r="A76" s="120" t="s">
        <v>313</v>
      </c>
      <c r="B76" s="61"/>
      <c r="C76" s="114"/>
      <c r="D76" s="114"/>
      <c r="E76" s="114"/>
      <c r="F76" s="123"/>
      <c r="G76" s="119">
        <f>2967.578*1000000000</f>
        <v>2967578000000</v>
      </c>
      <c r="H76" s="119"/>
      <c r="I76" s="119"/>
      <c r="J76" s="119"/>
    </row>
    <row r="77" spans="1:10">
      <c r="A77" s="120" t="s">
        <v>311</v>
      </c>
      <c r="B77" s="61"/>
      <c r="C77" s="114">
        <v>1.0468299999999999</v>
      </c>
      <c r="D77" s="114">
        <v>1.07986</v>
      </c>
      <c r="E77" s="114"/>
      <c r="F77" s="123"/>
      <c r="G77" s="119">
        <f>21060.45*1000000000</f>
        <v>21060450000000</v>
      </c>
      <c r="H77" s="119">
        <f>23315.075*1000000000</f>
        <v>23315075000000</v>
      </c>
      <c r="I77" s="119">
        <f>25462.725*1000000000</f>
        <v>25462725000000</v>
      </c>
      <c r="J77" s="119"/>
    </row>
    <row r="78" spans="1:10">
      <c r="A78" s="124" t="s">
        <v>219</v>
      </c>
      <c r="B78" s="215"/>
      <c r="C78" s="114"/>
      <c r="D78" s="114"/>
      <c r="E78" s="114"/>
      <c r="F78" s="123"/>
      <c r="G78" s="119">
        <f>63.635*1000000000</f>
        <v>63635000000</v>
      </c>
      <c r="H78" s="119"/>
      <c r="I78" s="119"/>
      <c r="J78" s="119"/>
    </row>
    <row r="79" spans="1:10">
      <c r="A79" s="124" t="s">
        <v>218</v>
      </c>
      <c r="B79" s="215"/>
      <c r="C79" s="114"/>
      <c r="D79" s="114"/>
      <c r="E79" s="114"/>
      <c r="F79" s="123"/>
      <c r="G79" s="119">
        <f>31.967*1000000000</f>
        <v>31967000000</v>
      </c>
      <c r="H79" s="119"/>
      <c r="I79" s="119"/>
      <c r="J79" s="119"/>
    </row>
    <row r="80" spans="1:10">
      <c r="C80" s="47"/>
      <c r="D80" s="47"/>
      <c r="E80" s="47"/>
      <c r="F80" s="126"/>
      <c r="G80" s="34"/>
      <c r="H80" s="34"/>
    </row>
    <row r="81" spans="1:8">
      <c r="C81" s="47"/>
      <c r="D81" s="47"/>
      <c r="E81" s="47"/>
      <c r="F81" s="126"/>
      <c r="G81" s="34"/>
      <c r="H81" s="34"/>
    </row>
    <row r="82" spans="1:8">
      <c r="C82" s="47"/>
      <c r="D82" s="47"/>
      <c r="E82" s="47"/>
      <c r="F82" s="126"/>
      <c r="G82" s="34"/>
      <c r="H82" s="34"/>
    </row>
    <row r="83" spans="1:8">
      <c r="C83" s="47"/>
      <c r="D83" s="47"/>
      <c r="E83" s="47"/>
      <c r="F83" s="126"/>
      <c r="G83" s="34"/>
      <c r="H83" s="34"/>
    </row>
    <row r="84" spans="1:8">
      <c r="A84" s="596" t="s">
        <v>370</v>
      </c>
      <c r="B84" s="596"/>
      <c r="C84" s="596"/>
      <c r="D84" s="48"/>
      <c r="E84" s="48"/>
      <c r="F84" s="48"/>
      <c r="G84" s="34"/>
      <c r="H84" s="34"/>
    </row>
    <row r="85" spans="1:8">
      <c r="A85" s="596" t="s">
        <v>158</v>
      </c>
      <c r="B85" s="596"/>
      <c r="C85" s="596"/>
      <c r="D85" s="596"/>
      <c r="E85" s="596"/>
      <c r="F85" s="596"/>
      <c r="G85" s="34"/>
      <c r="H85" s="34"/>
    </row>
    <row r="86" spans="1:8">
      <c r="C86" s="47"/>
      <c r="D86" s="47"/>
      <c r="E86" s="47"/>
      <c r="F86" s="126"/>
      <c r="G86" s="34"/>
      <c r="H86" s="34"/>
    </row>
    <row r="87" spans="1:8">
      <c r="C87" s="47"/>
      <c r="D87" s="47"/>
      <c r="E87" s="47"/>
      <c r="F87" s="126"/>
      <c r="G87" s="34"/>
      <c r="H87" s="34"/>
    </row>
    <row r="88" spans="1:8">
      <c r="C88" s="47"/>
      <c r="D88" s="47"/>
      <c r="E88" s="47"/>
      <c r="F88" s="126"/>
      <c r="G88" s="34"/>
      <c r="H88" s="34"/>
    </row>
    <row r="89" spans="1:8">
      <c r="C89" s="47"/>
      <c r="D89" s="47"/>
      <c r="E89" s="47"/>
      <c r="F89" s="126"/>
      <c r="G89" s="34"/>
      <c r="H89" s="34"/>
    </row>
    <row r="90" spans="1:8">
      <c r="C90" s="47"/>
      <c r="D90" s="47"/>
      <c r="E90" s="47"/>
      <c r="F90" s="126"/>
      <c r="G90" s="34"/>
      <c r="H90" s="34"/>
    </row>
    <row r="91" spans="1:8">
      <c r="C91" s="47"/>
      <c r="D91" s="47"/>
      <c r="E91" s="47"/>
      <c r="F91" s="126"/>
      <c r="G91" s="34"/>
      <c r="H91" s="34"/>
    </row>
    <row r="92" spans="1:8">
      <c r="C92" s="47"/>
      <c r="D92" s="47"/>
      <c r="E92" s="47"/>
      <c r="F92" s="126"/>
      <c r="G92" s="34"/>
      <c r="H92" s="34"/>
    </row>
    <row r="93" spans="1:8">
      <c r="C93" s="47"/>
      <c r="D93" s="47"/>
      <c r="E93" s="47"/>
      <c r="F93" s="126"/>
      <c r="G93" s="34"/>
      <c r="H93" s="34"/>
    </row>
    <row r="94" spans="1:8">
      <c r="C94" s="47"/>
      <c r="D94" s="47"/>
      <c r="E94" s="47"/>
      <c r="F94" s="126"/>
      <c r="G94" s="34"/>
      <c r="H94" s="34"/>
    </row>
    <row r="95" spans="1:8">
      <c r="C95" s="47"/>
      <c r="D95" s="47"/>
      <c r="E95" s="47"/>
      <c r="F95" s="126"/>
      <c r="G95" s="34"/>
      <c r="H95" s="34"/>
    </row>
    <row r="96" spans="1:8">
      <c r="C96" s="47"/>
      <c r="D96" s="47"/>
      <c r="E96" s="47"/>
      <c r="F96" s="126"/>
      <c r="G96" s="34"/>
      <c r="H96" s="34"/>
    </row>
    <row r="97" spans="3:8">
      <c r="C97" s="47"/>
      <c r="D97" s="47"/>
      <c r="E97" s="47"/>
      <c r="F97" s="126"/>
      <c r="G97" s="34"/>
      <c r="H97" s="34"/>
    </row>
    <row r="98" spans="3:8">
      <c r="C98" s="47"/>
      <c r="D98" s="47"/>
      <c r="E98" s="47"/>
      <c r="F98" s="126"/>
      <c r="G98" s="34"/>
      <c r="H98" s="34"/>
    </row>
    <row r="99" spans="3:8">
      <c r="C99" s="47"/>
      <c r="D99" s="47"/>
      <c r="E99" s="47"/>
      <c r="F99" s="126"/>
      <c r="G99" s="34"/>
      <c r="H99" s="34"/>
    </row>
    <row r="100" spans="3:8">
      <c r="C100" s="47"/>
      <c r="D100" s="47"/>
      <c r="E100" s="47"/>
      <c r="F100" s="126"/>
      <c r="G100" s="34"/>
      <c r="H100" s="34"/>
    </row>
    <row r="101" spans="3:8">
      <c r="C101" s="47"/>
      <c r="D101" s="47"/>
      <c r="E101" s="47"/>
      <c r="F101" s="126"/>
      <c r="G101" s="34"/>
      <c r="H101" s="34"/>
    </row>
    <row r="102" spans="3:8">
      <c r="C102" s="47"/>
      <c r="D102" s="47"/>
      <c r="E102" s="47"/>
      <c r="F102" s="126"/>
      <c r="G102" s="34"/>
      <c r="H102" s="34"/>
    </row>
    <row r="103" spans="3:8">
      <c r="C103" s="47"/>
      <c r="D103" s="47"/>
      <c r="E103" s="47"/>
      <c r="F103" s="126"/>
      <c r="G103" s="34"/>
      <c r="H103" s="34"/>
    </row>
    <row r="104" spans="3:8">
      <c r="C104" s="47"/>
      <c r="D104" s="47"/>
      <c r="E104" s="47"/>
      <c r="F104" s="126"/>
      <c r="G104" s="34"/>
      <c r="H104" s="34"/>
    </row>
    <row r="105" spans="3:8">
      <c r="C105" s="47"/>
      <c r="D105" s="47"/>
      <c r="E105" s="47"/>
      <c r="F105" s="126"/>
      <c r="G105" s="34"/>
      <c r="H105" s="34"/>
    </row>
    <row r="106" spans="3:8">
      <c r="C106" s="47"/>
      <c r="D106" s="47"/>
      <c r="E106" s="47"/>
      <c r="F106" s="126"/>
      <c r="G106" s="34"/>
      <c r="H106" s="34"/>
    </row>
    <row r="107" spans="3:8">
      <c r="C107" s="47"/>
      <c r="D107" s="47"/>
      <c r="E107" s="47"/>
      <c r="F107" s="126"/>
      <c r="G107" s="34"/>
      <c r="H107" s="34"/>
    </row>
    <row r="108" spans="3:8">
      <c r="C108" s="47"/>
      <c r="D108" s="47"/>
      <c r="E108" s="47"/>
      <c r="F108" s="126"/>
      <c r="G108" s="34"/>
      <c r="H108" s="34"/>
    </row>
    <row r="109" spans="3:8">
      <c r="C109" s="47"/>
      <c r="D109" s="47"/>
      <c r="E109" s="47"/>
      <c r="F109" s="126"/>
      <c r="G109" s="34"/>
      <c r="H109" s="34"/>
    </row>
    <row r="110" spans="3:8">
      <c r="C110" s="47"/>
      <c r="D110" s="47"/>
      <c r="E110" s="47"/>
      <c r="F110" s="126"/>
      <c r="G110" s="34"/>
      <c r="H110" s="34"/>
    </row>
    <row r="111" spans="3:8">
      <c r="C111" s="47"/>
      <c r="D111" s="47"/>
      <c r="E111" s="47"/>
      <c r="F111" s="126"/>
      <c r="G111" s="34"/>
      <c r="H111" s="34"/>
    </row>
    <row r="112" spans="3:8">
      <c r="C112" s="47"/>
      <c r="D112" s="47"/>
      <c r="E112" s="47"/>
      <c r="F112" s="126"/>
      <c r="G112" s="34"/>
      <c r="H112" s="34"/>
    </row>
    <row r="113" spans="3:8">
      <c r="C113" s="47"/>
      <c r="D113" s="47"/>
      <c r="E113" s="47"/>
      <c r="F113" s="126"/>
      <c r="G113" s="34"/>
      <c r="H113" s="34"/>
    </row>
    <row r="114" spans="3:8">
      <c r="C114" s="47"/>
      <c r="D114" s="47"/>
      <c r="E114" s="47"/>
      <c r="F114" s="126"/>
      <c r="G114" s="34"/>
      <c r="H114" s="34"/>
    </row>
    <row r="115" spans="3:8">
      <c r="C115" s="47"/>
      <c r="D115" s="47"/>
      <c r="E115" s="47"/>
      <c r="F115" s="126"/>
      <c r="G115" s="34"/>
      <c r="H115" s="34"/>
    </row>
    <row r="116" spans="3:8">
      <c r="C116" s="47"/>
      <c r="D116" s="47"/>
      <c r="E116" s="47"/>
      <c r="F116" s="126"/>
      <c r="G116" s="34"/>
      <c r="H116" s="34"/>
    </row>
    <row r="117" spans="3:8">
      <c r="C117" s="47"/>
      <c r="D117" s="47"/>
      <c r="E117" s="47"/>
      <c r="F117" s="126"/>
      <c r="G117" s="34"/>
      <c r="H117" s="34"/>
    </row>
    <row r="118" spans="3:8">
      <c r="C118" s="47"/>
      <c r="D118" s="47"/>
      <c r="E118" s="47"/>
      <c r="F118" s="126"/>
      <c r="G118" s="34"/>
      <c r="H118" s="34"/>
    </row>
    <row r="119" spans="3:8">
      <c r="C119" s="47"/>
      <c r="D119" s="47"/>
      <c r="E119" s="47"/>
      <c r="F119" s="126"/>
      <c r="G119" s="34"/>
      <c r="H119" s="34"/>
    </row>
    <row r="120" spans="3:8">
      <c r="C120" s="47"/>
      <c r="D120" s="47"/>
      <c r="E120" s="47"/>
      <c r="F120" s="126"/>
      <c r="G120" s="34"/>
      <c r="H120" s="34"/>
    </row>
    <row r="121" spans="3:8">
      <c r="C121" s="47"/>
      <c r="D121" s="47"/>
      <c r="E121" s="47"/>
      <c r="F121" s="126"/>
      <c r="G121" s="34"/>
      <c r="H121" s="34"/>
    </row>
    <row r="122" spans="3:8">
      <c r="C122" s="47"/>
      <c r="D122" s="47"/>
      <c r="E122" s="47"/>
      <c r="F122" s="126"/>
      <c r="G122" s="34"/>
      <c r="H122" s="34"/>
    </row>
    <row r="123" spans="3:8">
      <c r="C123" s="47"/>
      <c r="D123" s="47"/>
      <c r="E123" s="47"/>
      <c r="F123" s="126"/>
      <c r="G123" s="34"/>
      <c r="H123" s="34"/>
    </row>
    <row r="124" spans="3:8">
      <c r="C124" s="47"/>
      <c r="D124" s="47"/>
      <c r="E124" s="47"/>
      <c r="F124" s="126"/>
      <c r="G124" s="34"/>
      <c r="H124" s="34"/>
    </row>
    <row r="125" spans="3:8">
      <c r="C125" s="47"/>
      <c r="D125" s="47"/>
      <c r="E125" s="47"/>
      <c r="F125" s="126"/>
      <c r="G125" s="34"/>
      <c r="H125" s="34"/>
    </row>
    <row r="126" spans="3:8">
      <c r="C126" s="47"/>
      <c r="D126" s="47"/>
      <c r="E126" s="47"/>
      <c r="F126" s="126"/>
      <c r="G126" s="34"/>
      <c r="H126" s="34"/>
    </row>
    <row r="127" spans="3:8">
      <c r="C127" s="47"/>
      <c r="D127" s="47"/>
      <c r="E127" s="47"/>
      <c r="F127" s="126"/>
      <c r="G127" s="34"/>
      <c r="H127" s="34"/>
    </row>
    <row r="128" spans="3:8">
      <c r="C128" s="47"/>
      <c r="D128" s="47"/>
      <c r="E128" s="47"/>
      <c r="F128" s="126"/>
      <c r="G128" s="34"/>
      <c r="H128" s="34"/>
    </row>
    <row r="129" spans="3:8">
      <c r="C129" s="47"/>
      <c r="D129" s="47"/>
      <c r="E129" s="47"/>
      <c r="F129" s="126"/>
      <c r="G129" s="34"/>
      <c r="H129" s="34"/>
    </row>
    <row r="130" spans="3:8">
      <c r="C130" s="47"/>
      <c r="D130" s="47"/>
      <c r="E130" s="47"/>
      <c r="F130" s="126"/>
      <c r="G130" s="34"/>
      <c r="H130" s="34"/>
    </row>
    <row r="131" spans="3:8">
      <c r="C131" s="47"/>
      <c r="D131" s="47"/>
      <c r="E131" s="47"/>
      <c r="F131" s="126"/>
      <c r="G131" s="34"/>
      <c r="H131" s="34"/>
    </row>
    <row r="132" spans="3:8">
      <c r="C132" s="47"/>
      <c r="D132" s="47"/>
      <c r="E132" s="47"/>
      <c r="F132" s="126"/>
      <c r="G132" s="34"/>
      <c r="H132" s="34"/>
    </row>
    <row r="133" spans="3:8">
      <c r="C133" s="47"/>
      <c r="D133" s="47"/>
      <c r="E133" s="47"/>
      <c r="F133" s="126"/>
      <c r="G133" s="34"/>
      <c r="H133" s="34"/>
    </row>
    <row r="134" spans="3:8">
      <c r="C134" s="47"/>
      <c r="D134" s="47"/>
      <c r="E134" s="47"/>
      <c r="F134" s="126"/>
      <c r="G134" s="34"/>
      <c r="H134" s="34"/>
    </row>
    <row r="135" spans="3:8">
      <c r="C135" s="47"/>
      <c r="D135" s="47"/>
      <c r="E135" s="47"/>
      <c r="F135" s="126"/>
      <c r="G135" s="34"/>
      <c r="H135" s="34"/>
    </row>
    <row r="136" spans="3:8">
      <c r="C136" s="47"/>
      <c r="D136" s="47"/>
      <c r="E136" s="47"/>
      <c r="F136" s="126"/>
      <c r="G136" s="34"/>
      <c r="H136" s="34"/>
    </row>
    <row r="137" spans="3:8">
      <c r="C137" s="47"/>
      <c r="D137" s="47"/>
      <c r="E137" s="47"/>
      <c r="F137" s="126"/>
      <c r="G137" s="34"/>
      <c r="H137" s="34"/>
    </row>
    <row r="138" spans="3:8">
      <c r="C138" s="47"/>
      <c r="D138" s="47"/>
      <c r="E138" s="47"/>
      <c r="F138" s="126"/>
      <c r="G138" s="34"/>
      <c r="H138" s="34"/>
    </row>
    <row r="139" spans="3:8">
      <c r="C139" s="47"/>
      <c r="D139" s="47"/>
      <c r="E139" s="47"/>
      <c r="F139" s="126"/>
      <c r="G139" s="34"/>
      <c r="H139" s="34"/>
    </row>
    <row r="140" spans="3:8">
      <c r="C140" s="47"/>
      <c r="D140" s="47"/>
      <c r="E140" s="47"/>
      <c r="F140" s="126"/>
      <c r="G140" s="34"/>
      <c r="H140" s="34"/>
    </row>
    <row r="141" spans="3:8">
      <c r="C141" s="47"/>
      <c r="D141" s="47"/>
      <c r="E141" s="47"/>
      <c r="F141" s="126"/>
      <c r="G141" s="34"/>
      <c r="H141" s="34"/>
    </row>
    <row r="142" spans="3:8">
      <c r="C142" s="47"/>
      <c r="D142" s="47"/>
      <c r="E142" s="47"/>
      <c r="F142" s="126"/>
      <c r="G142" s="34"/>
      <c r="H142" s="34"/>
    </row>
    <row r="143" spans="3:8">
      <c r="C143" s="47"/>
      <c r="D143" s="47"/>
      <c r="E143" s="47"/>
      <c r="F143" s="126"/>
      <c r="G143" s="34"/>
      <c r="H143" s="34"/>
    </row>
    <row r="144" spans="3:8">
      <c r="C144" s="47"/>
      <c r="D144" s="47"/>
      <c r="E144" s="47"/>
      <c r="F144" s="126"/>
      <c r="G144" s="34"/>
      <c r="H144" s="34"/>
    </row>
    <row r="145" spans="3:8">
      <c r="C145" s="47"/>
      <c r="D145" s="47"/>
      <c r="E145" s="47"/>
      <c r="F145" s="126"/>
      <c r="G145" s="34"/>
      <c r="H145" s="34"/>
    </row>
    <row r="146" spans="3:8">
      <c r="C146" s="47"/>
      <c r="D146" s="47"/>
      <c r="E146" s="47"/>
      <c r="F146" s="126"/>
      <c r="G146" s="34"/>
      <c r="H146" s="34"/>
    </row>
    <row r="147" spans="3:8">
      <c r="C147" s="47"/>
      <c r="D147" s="47"/>
      <c r="E147" s="47"/>
      <c r="F147" s="126"/>
      <c r="G147" s="34"/>
      <c r="H147" s="34"/>
    </row>
    <row r="148" spans="3:8">
      <c r="C148" s="47"/>
      <c r="D148" s="47"/>
      <c r="E148" s="47"/>
      <c r="F148" s="126"/>
      <c r="G148" s="34"/>
      <c r="H148" s="34"/>
    </row>
    <row r="149" spans="3:8">
      <c r="C149" s="47"/>
      <c r="D149" s="47"/>
      <c r="E149" s="47"/>
      <c r="F149" s="126"/>
      <c r="G149" s="34"/>
      <c r="H149" s="34"/>
    </row>
    <row r="150" spans="3:8">
      <c r="C150" s="47"/>
      <c r="D150" s="47"/>
      <c r="E150" s="47"/>
      <c r="F150" s="126"/>
      <c r="G150" s="34"/>
      <c r="H150" s="34"/>
    </row>
    <row r="151" spans="3:8">
      <c r="C151" s="47"/>
      <c r="D151" s="47"/>
      <c r="E151" s="47"/>
      <c r="F151" s="126"/>
      <c r="G151" s="34"/>
      <c r="H151" s="34"/>
    </row>
    <row r="152" spans="3:8">
      <c r="C152" s="47"/>
      <c r="D152" s="47"/>
      <c r="E152" s="47"/>
      <c r="F152" s="126"/>
      <c r="G152" s="34"/>
      <c r="H152" s="34"/>
    </row>
    <row r="153" spans="3:8">
      <c r="C153" s="47"/>
      <c r="D153" s="47"/>
      <c r="E153" s="47"/>
      <c r="F153" s="126"/>
      <c r="G153" s="34"/>
      <c r="H153" s="34"/>
    </row>
    <row r="154" spans="3:8">
      <c r="C154" s="47"/>
      <c r="D154" s="47"/>
      <c r="E154" s="47"/>
      <c r="F154" s="126"/>
      <c r="G154" s="34"/>
      <c r="H154" s="34"/>
    </row>
    <row r="155" spans="3:8">
      <c r="C155" s="47"/>
      <c r="D155" s="47"/>
      <c r="E155" s="47"/>
      <c r="F155" s="126"/>
      <c r="G155" s="34"/>
      <c r="H155" s="34"/>
    </row>
    <row r="156" spans="3:8">
      <c r="C156" s="47"/>
      <c r="D156" s="47"/>
      <c r="E156" s="47"/>
      <c r="F156" s="126"/>
      <c r="G156" s="34"/>
      <c r="H156" s="34"/>
    </row>
    <row r="157" spans="3:8">
      <c r="C157" s="47"/>
      <c r="D157" s="47"/>
      <c r="E157" s="47"/>
      <c r="F157" s="126"/>
      <c r="G157" s="34"/>
      <c r="H157" s="34"/>
    </row>
    <row r="158" spans="3:8">
      <c r="C158" s="47"/>
      <c r="D158" s="47"/>
      <c r="E158" s="47"/>
      <c r="F158" s="126"/>
      <c r="G158" s="34"/>
      <c r="H158" s="34"/>
    </row>
    <row r="159" spans="3:8">
      <c r="C159" s="47"/>
      <c r="D159" s="47"/>
      <c r="E159" s="47"/>
      <c r="F159" s="126"/>
      <c r="G159" s="34"/>
      <c r="H159" s="34"/>
    </row>
    <row r="160" spans="3:8">
      <c r="C160" s="47"/>
      <c r="D160" s="47"/>
      <c r="E160" s="47"/>
      <c r="F160" s="126"/>
      <c r="G160" s="34"/>
      <c r="H160" s="34"/>
    </row>
    <row r="161" spans="3:8">
      <c r="C161" s="47"/>
      <c r="D161" s="47"/>
      <c r="E161" s="47"/>
      <c r="F161" s="126"/>
      <c r="G161" s="34"/>
      <c r="H161" s="34"/>
    </row>
    <row r="162" spans="3:8">
      <c r="C162" s="47"/>
      <c r="D162" s="47"/>
      <c r="E162" s="47"/>
      <c r="F162" s="126"/>
      <c r="G162" s="34"/>
      <c r="H162" s="34"/>
    </row>
    <row r="163" spans="3:8">
      <c r="C163" s="47"/>
      <c r="D163" s="47"/>
      <c r="E163" s="47"/>
      <c r="F163" s="126"/>
      <c r="G163" s="34"/>
      <c r="H163" s="34"/>
    </row>
    <row r="164" spans="3:8">
      <c r="C164" s="47"/>
      <c r="D164" s="47"/>
      <c r="E164" s="47"/>
      <c r="F164" s="126"/>
      <c r="G164" s="34"/>
      <c r="H164" s="34"/>
    </row>
    <row r="165" spans="3:8">
      <c r="C165" s="47"/>
      <c r="D165" s="47"/>
      <c r="E165" s="47"/>
      <c r="F165" s="126"/>
      <c r="G165" s="34"/>
      <c r="H165" s="34"/>
    </row>
    <row r="166" spans="3:8">
      <c r="C166" s="47"/>
      <c r="D166" s="47"/>
      <c r="E166" s="47"/>
      <c r="F166" s="126"/>
      <c r="G166" s="34"/>
      <c r="H166" s="34"/>
    </row>
    <row r="167" spans="3:8">
      <c r="C167" s="47"/>
      <c r="D167" s="47"/>
      <c r="E167" s="47"/>
      <c r="F167" s="126"/>
      <c r="G167" s="34"/>
      <c r="H167" s="34"/>
    </row>
    <row r="168" spans="3:8">
      <c r="C168" s="47"/>
      <c r="D168" s="47"/>
      <c r="E168" s="47"/>
      <c r="F168" s="126"/>
      <c r="G168" s="34"/>
      <c r="H168" s="34"/>
    </row>
    <row r="169" spans="3:8">
      <c r="C169" s="47"/>
      <c r="D169" s="47"/>
      <c r="E169" s="47"/>
      <c r="F169" s="126"/>
      <c r="G169" s="34"/>
      <c r="H169" s="34"/>
    </row>
    <row r="170" spans="3:8">
      <c r="C170" s="47"/>
      <c r="D170" s="47"/>
      <c r="E170" s="47"/>
      <c r="F170" s="126"/>
      <c r="G170" s="34"/>
      <c r="H170" s="34"/>
    </row>
    <row r="171" spans="3:8">
      <c r="C171" s="47"/>
      <c r="D171" s="47"/>
      <c r="E171" s="47"/>
      <c r="F171" s="126"/>
      <c r="G171" s="34"/>
      <c r="H171" s="34"/>
    </row>
    <row r="172" spans="3:8">
      <c r="C172" s="47"/>
      <c r="D172" s="47"/>
      <c r="E172" s="47"/>
      <c r="F172" s="126"/>
      <c r="G172" s="34"/>
      <c r="H172" s="34"/>
    </row>
    <row r="173" spans="3:8">
      <c r="C173" s="47"/>
      <c r="D173" s="47"/>
      <c r="E173" s="47"/>
      <c r="F173" s="126"/>
      <c r="G173" s="34"/>
      <c r="H173" s="34"/>
    </row>
    <row r="174" spans="3:8">
      <c r="C174" s="47"/>
      <c r="D174" s="47"/>
      <c r="E174" s="47"/>
      <c r="F174" s="126"/>
      <c r="G174" s="34"/>
      <c r="H174" s="34"/>
    </row>
    <row r="175" spans="3:8">
      <c r="C175" s="47"/>
      <c r="D175" s="47"/>
      <c r="E175" s="47"/>
      <c r="F175" s="126"/>
      <c r="G175" s="34"/>
      <c r="H175" s="34"/>
    </row>
    <row r="176" spans="3:8">
      <c r="C176" s="47"/>
      <c r="D176" s="47"/>
      <c r="E176" s="47"/>
      <c r="F176" s="126"/>
      <c r="G176" s="34"/>
      <c r="H176" s="34"/>
    </row>
    <row r="177" spans="3:8">
      <c r="C177" s="47"/>
      <c r="D177" s="47"/>
      <c r="E177" s="47"/>
      <c r="F177" s="126"/>
      <c r="G177" s="34"/>
      <c r="H177" s="34"/>
    </row>
    <row r="178" spans="3:8">
      <c r="C178" s="47"/>
      <c r="D178" s="47"/>
      <c r="E178" s="47"/>
      <c r="F178" s="126"/>
      <c r="G178" s="34"/>
      <c r="H178" s="34"/>
    </row>
    <row r="179" spans="3:8">
      <c r="C179" s="47"/>
      <c r="D179" s="47"/>
      <c r="E179" s="47"/>
      <c r="F179" s="126"/>
      <c r="G179" s="34"/>
      <c r="H179" s="34"/>
    </row>
    <row r="180" spans="3:8">
      <c r="C180" s="47"/>
      <c r="D180" s="47"/>
      <c r="E180" s="47"/>
      <c r="F180" s="126"/>
      <c r="G180" s="34"/>
      <c r="H180" s="34"/>
    </row>
    <row r="181" spans="3:8">
      <c r="C181" s="47"/>
      <c r="D181" s="47"/>
      <c r="E181" s="47"/>
      <c r="F181" s="126"/>
      <c r="G181" s="34"/>
      <c r="H181" s="34"/>
    </row>
    <row r="182" spans="3:8">
      <c r="C182" s="47"/>
      <c r="D182" s="47"/>
      <c r="E182" s="47"/>
      <c r="F182" s="126"/>
      <c r="G182" s="34"/>
      <c r="H182" s="34"/>
    </row>
    <row r="183" spans="3:8">
      <c r="C183" s="47"/>
      <c r="D183" s="47"/>
      <c r="E183" s="47"/>
      <c r="F183" s="126"/>
      <c r="G183" s="34"/>
      <c r="H183" s="34"/>
    </row>
    <row r="184" spans="3:8">
      <c r="C184" s="47"/>
      <c r="D184" s="47"/>
      <c r="E184" s="47"/>
      <c r="F184" s="126"/>
      <c r="G184" s="34"/>
      <c r="H184" s="34"/>
    </row>
    <row r="185" spans="3:8">
      <c r="C185" s="47"/>
      <c r="D185" s="47"/>
      <c r="E185" s="47"/>
      <c r="F185" s="126"/>
      <c r="G185" s="34"/>
      <c r="H185" s="34"/>
    </row>
    <row r="186" spans="3:8">
      <c r="C186" s="47"/>
      <c r="D186" s="47"/>
      <c r="E186" s="47"/>
      <c r="F186" s="126"/>
      <c r="G186" s="34"/>
      <c r="H186" s="34"/>
    </row>
    <row r="187" spans="3:8">
      <c r="C187" s="47"/>
      <c r="D187" s="47"/>
      <c r="E187" s="47"/>
      <c r="F187" s="126"/>
      <c r="G187" s="34"/>
      <c r="H187" s="34"/>
    </row>
    <row r="188" spans="3:8">
      <c r="C188" s="47"/>
      <c r="D188" s="47"/>
      <c r="E188" s="47"/>
      <c r="F188" s="126"/>
      <c r="G188" s="34"/>
      <c r="H188" s="34"/>
    </row>
    <row r="189" spans="3:8">
      <c r="C189" s="47"/>
      <c r="D189" s="47"/>
      <c r="E189" s="47"/>
      <c r="F189" s="126"/>
      <c r="G189" s="34"/>
      <c r="H189" s="34"/>
    </row>
    <row r="190" spans="3:8">
      <c r="C190" s="47"/>
      <c r="D190" s="47"/>
      <c r="E190" s="47"/>
      <c r="F190" s="126"/>
      <c r="G190" s="34"/>
      <c r="H190" s="34"/>
    </row>
    <row r="191" spans="3:8">
      <c r="C191" s="47"/>
      <c r="D191" s="47"/>
      <c r="E191" s="47"/>
      <c r="F191" s="126"/>
      <c r="G191" s="34"/>
      <c r="H191" s="34"/>
    </row>
    <row r="192" spans="3:8">
      <c r="C192" s="47"/>
      <c r="D192" s="47"/>
      <c r="E192" s="47"/>
      <c r="F192" s="126"/>
      <c r="G192" s="34"/>
      <c r="H192" s="34"/>
    </row>
    <row r="193" spans="3:8">
      <c r="C193" s="47"/>
      <c r="D193" s="47"/>
      <c r="E193" s="47"/>
      <c r="F193" s="126"/>
      <c r="G193" s="34"/>
      <c r="H193" s="34"/>
    </row>
    <row r="194" spans="3:8">
      <c r="C194" s="47"/>
      <c r="D194" s="47"/>
      <c r="E194" s="47"/>
      <c r="F194" s="126"/>
      <c r="G194" s="34"/>
      <c r="H194" s="34"/>
    </row>
    <row r="195" spans="3:8">
      <c r="C195" s="47"/>
      <c r="D195" s="47"/>
      <c r="E195" s="47"/>
      <c r="F195" s="126"/>
      <c r="G195" s="34"/>
      <c r="H195" s="34"/>
    </row>
    <row r="196" spans="3:8">
      <c r="C196" s="47"/>
      <c r="D196" s="47"/>
      <c r="E196" s="47"/>
      <c r="F196" s="126"/>
      <c r="G196" s="34"/>
      <c r="H196" s="34"/>
    </row>
    <row r="197" spans="3:8">
      <c r="C197" s="47"/>
      <c r="D197" s="47"/>
      <c r="E197" s="47"/>
      <c r="F197" s="126"/>
      <c r="G197" s="34"/>
      <c r="H197" s="34"/>
    </row>
    <row r="198" spans="3:8">
      <c r="C198" s="47"/>
      <c r="D198" s="47"/>
      <c r="E198" s="47"/>
      <c r="F198" s="126"/>
      <c r="G198" s="34"/>
      <c r="H198" s="34"/>
    </row>
    <row r="199" spans="3:8">
      <c r="C199" s="47"/>
      <c r="D199" s="47"/>
      <c r="E199" s="47"/>
      <c r="F199" s="126"/>
      <c r="G199" s="34"/>
      <c r="H199" s="34"/>
    </row>
    <row r="200" spans="3:8">
      <c r="C200" s="47"/>
      <c r="D200" s="47"/>
      <c r="E200" s="47"/>
      <c r="F200" s="126"/>
      <c r="G200" s="34"/>
      <c r="H200" s="34"/>
    </row>
    <row r="201" spans="3:8">
      <c r="C201" s="47"/>
      <c r="D201" s="47"/>
      <c r="E201" s="47"/>
      <c r="F201" s="126"/>
      <c r="G201" s="34"/>
      <c r="H201" s="34"/>
    </row>
    <row r="202" spans="3:8">
      <c r="C202" s="47"/>
      <c r="D202" s="47"/>
      <c r="E202" s="47"/>
      <c r="F202" s="126"/>
      <c r="G202" s="34"/>
      <c r="H202" s="34"/>
    </row>
    <row r="203" spans="3:8">
      <c r="C203" s="47"/>
      <c r="D203" s="47"/>
      <c r="E203" s="47"/>
      <c r="F203" s="126"/>
      <c r="G203" s="34"/>
      <c r="H203" s="34"/>
    </row>
    <row r="204" spans="3:8">
      <c r="C204" s="47"/>
      <c r="D204" s="47"/>
      <c r="E204" s="47"/>
      <c r="F204" s="126"/>
      <c r="G204" s="34"/>
      <c r="H204" s="34"/>
    </row>
    <row r="205" spans="3:8">
      <c r="C205" s="47"/>
      <c r="D205" s="47"/>
      <c r="E205" s="47"/>
      <c r="F205" s="126"/>
      <c r="G205" s="34"/>
      <c r="H205" s="34"/>
    </row>
    <row r="206" spans="3:8">
      <c r="C206" s="47"/>
      <c r="D206" s="47"/>
      <c r="E206" s="47"/>
      <c r="F206" s="126"/>
      <c r="G206" s="34"/>
      <c r="H206" s="34"/>
    </row>
    <row r="207" spans="3:8">
      <c r="C207" s="47"/>
      <c r="D207" s="47"/>
      <c r="E207" s="47"/>
      <c r="F207" s="126"/>
      <c r="G207" s="34"/>
      <c r="H207" s="34"/>
    </row>
    <row r="208" spans="3:8">
      <c r="C208" s="47"/>
      <c r="D208" s="47"/>
      <c r="E208" s="47"/>
      <c r="F208" s="126"/>
      <c r="G208" s="34"/>
      <c r="H208" s="34"/>
    </row>
    <row r="209" spans="3:8">
      <c r="C209" s="47"/>
      <c r="D209" s="47"/>
      <c r="E209" s="47"/>
      <c r="F209" s="126"/>
      <c r="G209" s="34"/>
      <c r="H209" s="34"/>
    </row>
    <row r="210" spans="3:8">
      <c r="C210" s="47"/>
      <c r="D210" s="47"/>
      <c r="E210" s="47"/>
      <c r="G210" s="34"/>
      <c r="H210" s="34"/>
    </row>
    <row r="211" spans="3:8">
      <c r="C211" s="47"/>
      <c r="D211" s="47"/>
      <c r="E211" s="47"/>
      <c r="G211" s="34"/>
      <c r="H211" s="34"/>
    </row>
    <row r="212" spans="3:8">
      <c r="C212" s="47"/>
      <c r="D212" s="47"/>
      <c r="E212" s="47"/>
      <c r="G212" s="34"/>
      <c r="H212" s="34"/>
    </row>
    <row r="213" spans="3:8">
      <c r="C213" s="47"/>
      <c r="D213" s="47"/>
      <c r="E213" s="47"/>
      <c r="G213" s="34"/>
      <c r="H213" s="34"/>
    </row>
    <row r="214" spans="3:8">
      <c r="C214" s="47"/>
      <c r="D214" s="47"/>
      <c r="E214" s="47"/>
      <c r="G214" s="34"/>
      <c r="H214" s="34"/>
    </row>
    <row r="215" spans="3:8">
      <c r="C215" s="47"/>
      <c r="D215" s="47"/>
      <c r="E215" s="47"/>
      <c r="G215" s="34"/>
      <c r="H215" s="34"/>
    </row>
    <row r="216" spans="3:8">
      <c r="C216" s="47"/>
      <c r="D216" s="47"/>
      <c r="E216" s="47"/>
      <c r="G216" s="34"/>
      <c r="H216" s="34"/>
    </row>
    <row r="217" spans="3:8">
      <c r="C217" s="47"/>
      <c r="D217" s="47"/>
      <c r="E217" s="47"/>
      <c r="G217" s="34"/>
      <c r="H217" s="34"/>
    </row>
    <row r="218" spans="3:8">
      <c r="C218" s="47"/>
      <c r="D218" s="47"/>
      <c r="E218" s="47"/>
      <c r="G218" s="34"/>
      <c r="H218" s="34"/>
    </row>
    <row r="219" spans="3:8">
      <c r="C219" s="47"/>
      <c r="D219" s="47"/>
      <c r="E219" s="47"/>
      <c r="G219" s="34"/>
      <c r="H219" s="34"/>
    </row>
    <row r="220" spans="3:8">
      <c r="C220" s="47"/>
      <c r="D220" s="47"/>
      <c r="E220" s="47"/>
      <c r="G220" s="34"/>
      <c r="H220" s="34"/>
    </row>
    <row r="221" spans="3:8">
      <c r="C221" s="47"/>
      <c r="D221" s="47"/>
      <c r="E221" s="47"/>
      <c r="G221" s="34"/>
      <c r="H221" s="34"/>
    </row>
    <row r="222" spans="3:8">
      <c r="C222" s="47"/>
      <c r="D222" s="47"/>
      <c r="E222" s="47"/>
      <c r="G222" s="34"/>
      <c r="H222" s="34"/>
    </row>
    <row r="223" spans="3:8">
      <c r="C223" s="47"/>
      <c r="D223" s="47"/>
      <c r="E223" s="47"/>
      <c r="G223" s="34"/>
      <c r="H223" s="34"/>
    </row>
    <row r="224" spans="3:8">
      <c r="C224" s="47"/>
      <c r="D224" s="47"/>
      <c r="E224" s="47"/>
      <c r="G224" s="34"/>
      <c r="H224" s="34"/>
    </row>
    <row r="225" spans="3:8">
      <c r="C225" s="47"/>
      <c r="D225" s="47"/>
      <c r="E225" s="47"/>
      <c r="G225" s="34"/>
      <c r="H225" s="34"/>
    </row>
    <row r="226" spans="3:8">
      <c r="C226" s="47"/>
      <c r="D226" s="47"/>
      <c r="E226" s="47"/>
      <c r="G226" s="34"/>
      <c r="H226" s="34"/>
    </row>
    <row r="227" spans="3:8">
      <c r="C227" s="47"/>
      <c r="D227" s="47"/>
      <c r="E227" s="47"/>
      <c r="G227" s="34"/>
      <c r="H227" s="34"/>
    </row>
    <row r="228" spans="3:8">
      <c r="C228" s="47"/>
      <c r="D228" s="47"/>
      <c r="E228" s="47"/>
      <c r="G228" s="34"/>
      <c r="H228" s="34"/>
    </row>
    <row r="229" spans="3:8">
      <c r="C229" s="47"/>
      <c r="D229" s="47"/>
      <c r="E229" s="47"/>
      <c r="G229" s="34"/>
      <c r="H229" s="34"/>
    </row>
    <row r="230" spans="3:8">
      <c r="C230" s="47"/>
      <c r="D230" s="47"/>
      <c r="E230" s="47"/>
      <c r="G230" s="34"/>
      <c r="H230" s="34"/>
    </row>
    <row r="231" spans="3:8">
      <c r="C231" s="47"/>
      <c r="D231" s="47"/>
      <c r="E231" s="47"/>
      <c r="G231" s="34"/>
      <c r="H231" s="34"/>
    </row>
    <row r="232" spans="3:8">
      <c r="C232" s="47"/>
      <c r="D232" s="47"/>
      <c r="E232" s="47"/>
      <c r="G232" s="34"/>
      <c r="H232" s="34"/>
    </row>
    <row r="233" spans="3:8">
      <c r="C233" s="47"/>
      <c r="D233" s="47"/>
      <c r="E233" s="47"/>
      <c r="G233" s="34"/>
      <c r="H233" s="34"/>
    </row>
    <row r="234" spans="3:8">
      <c r="C234" s="47"/>
      <c r="D234" s="47"/>
      <c r="E234" s="47"/>
      <c r="G234" s="34"/>
      <c r="H234" s="34"/>
    </row>
    <row r="235" spans="3:8">
      <c r="C235" s="47"/>
      <c r="D235" s="47"/>
      <c r="E235" s="47"/>
      <c r="G235" s="34"/>
      <c r="H235" s="34"/>
    </row>
    <row r="236" spans="3:8">
      <c r="C236" s="47"/>
      <c r="D236" s="47"/>
      <c r="E236" s="47"/>
      <c r="G236" s="34"/>
      <c r="H236" s="34"/>
    </row>
    <row r="237" spans="3:8">
      <c r="C237" s="47"/>
      <c r="D237" s="47"/>
      <c r="E237" s="47"/>
      <c r="G237" s="34"/>
      <c r="H237" s="34"/>
    </row>
    <row r="238" spans="3:8">
      <c r="C238" s="47"/>
      <c r="D238" s="47"/>
      <c r="E238" s="47"/>
      <c r="G238" s="34"/>
      <c r="H238" s="34"/>
    </row>
    <row r="239" spans="3:8">
      <c r="C239" s="47"/>
      <c r="D239" s="47"/>
      <c r="E239" s="47"/>
      <c r="G239" s="34"/>
      <c r="H239" s="34"/>
    </row>
    <row r="240" spans="3:8">
      <c r="C240" s="47"/>
      <c r="D240" s="47"/>
      <c r="E240" s="47"/>
      <c r="G240" s="34"/>
      <c r="H240" s="34"/>
    </row>
    <row r="241" spans="3:8">
      <c r="C241" s="47"/>
      <c r="D241" s="47"/>
      <c r="E241" s="47"/>
      <c r="G241" s="34"/>
      <c r="H241" s="34"/>
    </row>
    <row r="242" spans="3:8">
      <c r="C242" s="47"/>
      <c r="D242" s="47"/>
      <c r="E242" s="47"/>
      <c r="G242" s="34"/>
      <c r="H242" s="34"/>
    </row>
    <row r="243" spans="3:8">
      <c r="C243" s="47"/>
      <c r="D243" s="47"/>
      <c r="E243" s="47"/>
      <c r="G243" s="34"/>
      <c r="H243" s="34"/>
    </row>
    <row r="244" spans="3:8">
      <c r="C244" s="47"/>
      <c r="D244" s="47"/>
      <c r="E244" s="47"/>
    </row>
    <row r="245" spans="3:8">
      <c r="C245" s="47"/>
      <c r="D245" s="47"/>
      <c r="E245" s="47"/>
    </row>
    <row r="246" spans="3:8">
      <c r="C246" s="47"/>
      <c r="D246" s="47"/>
      <c r="E246" s="47"/>
    </row>
    <row r="247" spans="3:8">
      <c r="C247" s="47"/>
      <c r="D247" s="47"/>
      <c r="E247" s="47"/>
    </row>
  </sheetData>
  <sortState xmlns:xlrd2="http://schemas.microsoft.com/office/spreadsheetml/2017/richdata2" ref="A4:G79">
    <sortCondition ref="A4:A79"/>
  </sortState>
  <mergeCells count="4">
    <mergeCell ref="A84:C84"/>
    <mergeCell ref="A85:F85"/>
    <mergeCell ref="G2:J2"/>
    <mergeCell ref="B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6173-6A3C-2540-872F-9B09787A6F26}">
  <dimension ref="A2:K32"/>
  <sheetViews>
    <sheetView zoomScale="80" zoomScaleNormal="80" workbookViewId="0">
      <selection activeCell="A29" sqref="A29:B29"/>
    </sheetView>
  </sheetViews>
  <sheetFormatPr defaultColWidth="11.19921875" defaultRowHeight="15.6"/>
  <cols>
    <col min="1" max="1" width="29.296875" style="3" customWidth="1"/>
    <col min="2" max="3" width="27.296875" style="3" customWidth="1"/>
    <col min="4" max="4" width="23.796875" style="3" customWidth="1"/>
    <col min="5" max="5" width="26.19921875" customWidth="1"/>
    <col min="6" max="6" width="30" customWidth="1"/>
    <col min="7" max="7" width="49" customWidth="1"/>
    <col min="8" max="8" width="26.796875" customWidth="1"/>
    <col min="12" max="12" width="51.19921875" customWidth="1"/>
    <col min="13" max="13" width="19" customWidth="1"/>
  </cols>
  <sheetData>
    <row r="2" spans="1:11" ht="87" customHeight="1">
      <c r="A2" s="600" t="s">
        <v>181</v>
      </c>
      <c r="B2" s="600"/>
      <c r="C2" s="600"/>
      <c r="D2" s="600"/>
      <c r="E2" s="600"/>
      <c r="G2" s="60" t="s">
        <v>191</v>
      </c>
    </row>
    <row r="3" spans="1:11" ht="25.05" customHeight="1">
      <c r="A3" s="31"/>
      <c r="B3" s="30" t="s">
        <v>177</v>
      </c>
      <c r="C3" s="30" t="s">
        <v>178</v>
      </c>
      <c r="D3" s="30" t="s">
        <v>179</v>
      </c>
      <c r="E3" s="30" t="s">
        <v>180</v>
      </c>
    </row>
    <row r="4" spans="1:11" ht="30" customHeight="1">
      <c r="A4" s="30" t="s">
        <v>173</v>
      </c>
      <c r="B4" s="33">
        <f>1615826.53211066*10000000</f>
        <v>16158265321106.602</v>
      </c>
      <c r="C4" s="33">
        <f>1641460.27581553*10000000</f>
        <v>16414602758155.301</v>
      </c>
      <c r="D4" s="33"/>
      <c r="E4" s="33"/>
      <c r="G4" s="133" t="s">
        <v>329</v>
      </c>
      <c r="H4" s="134" t="s">
        <v>184</v>
      </c>
    </row>
    <row r="5" spans="1:11" ht="30" customHeight="1">
      <c r="A5" s="30" t="s">
        <v>174</v>
      </c>
      <c r="B5" s="33">
        <f>812934.630522799*10000000</f>
        <v>8129346305227.9902</v>
      </c>
      <c r="C5" s="33">
        <f>771723.889529587*10000000</f>
        <v>7717238895295.8701</v>
      </c>
      <c r="D5" s="33">
        <f>934541.749187947*10000000</f>
        <v>9345417491879.4707</v>
      </c>
      <c r="E5" s="33"/>
      <c r="G5" s="53" t="s">
        <v>189</v>
      </c>
      <c r="H5" s="53">
        <f>275</f>
        <v>275</v>
      </c>
    </row>
    <row r="6" spans="1:11" ht="30" customHeight="1">
      <c r="A6" s="30" t="s">
        <v>175</v>
      </c>
      <c r="B6" s="33">
        <f>1179127.46203203*10000000</f>
        <v>11791274620320.301</v>
      </c>
      <c r="C6" s="33">
        <f>1141802.20924454*10000000</f>
        <v>11418022092445.4</v>
      </c>
      <c r="D6" s="33">
        <f>1329238.39581667*10000000</f>
        <v>13292383958166.701</v>
      </c>
      <c r="E6" s="33">
        <f>1531758.33807094*10000000</f>
        <v>15317583380709.4</v>
      </c>
      <c r="G6" s="53" t="s">
        <v>185</v>
      </c>
      <c r="H6" s="53">
        <f>91</f>
        <v>91</v>
      </c>
    </row>
    <row r="7" spans="1:11" ht="30" customHeight="1">
      <c r="G7" s="53" t="s">
        <v>188</v>
      </c>
      <c r="H7" s="53">
        <f>90</f>
        <v>90</v>
      </c>
    </row>
    <row r="8" spans="1:11" ht="30" customHeight="1">
      <c r="A8" s="601" t="s">
        <v>499</v>
      </c>
      <c r="B8" s="601"/>
      <c r="C8" s="601"/>
      <c r="D8" s="601"/>
    </row>
    <row r="9" spans="1:11" ht="27" customHeight="1">
      <c r="A9" s="600" t="s">
        <v>183</v>
      </c>
      <c r="B9" s="600"/>
      <c r="C9" s="600"/>
      <c r="D9" s="600"/>
      <c r="G9" s="133" t="s">
        <v>330</v>
      </c>
      <c r="H9" s="134" t="s">
        <v>186</v>
      </c>
    </row>
    <row r="10" spans="1:11" ht="30" customHeight="1">
      <c r="A10" s="31"/>
      <c r="B10" s="30">
        <v>2020</v>
      </c>
      <c r="C10" s="30">
        <v>2021</v>
      </c>
      <c r="D10" s="30">
        <v>2022</v>
      </c>
      <c r="G10" s="53" t="s">
        <v>177</v>
      </c>
      <c r="H10" s="53">
        <f>366</f>
        <v>366</v>
      </c>
    </row>
    <row r="11" spans="1:11" ht="30" customHeight="1">
      <c r="A11" s="30" t="s">
        <v>173</v>
      </c>
      <c r="B11" s="33">
        <f>(B4*($H$6/$H$10))+(C4*($H$5/$H$11))</f>
        <v>16384658658948.176</v>
      </c>
      <c r="C11" s="33"/>
      <c r="D11" s="33"/>
      <c r="G11" s="54" t="s">
        <v>187</v>
      </c>
      <c r="H11" s="54">
        <f>365</f>
        <v>365</v>
      </c>
    </row>
    <row r="12" spans="1:11" ht="30" customHeight="1">
      <c r="A12" s="30" t="s">
        <v>174</v>
      </c>
      <c r="B12" s="33">
        <f>(B5*($H$6/$H$10))+(C5*($H$5/$H$11))</f>
        <v>7835588983753.8516</v>
      </c>
      <c r="C12" s="33">
        <f>(C5*($H$7/$H$11))+(D5*($H$5/$H$11))</f>
        <v>8943948796831.459</v>
      </c>
      <c r="D12" s="33"/>
      <c r="G12" s="55"/>
      <c r="H12" s="55"/>
    </row>
    <row r="13" spans="1:11" ht="37.049999999999997" customHeight="1">
      <c r="A13" s="30" t="s">
        <v>175</v>
      </c>
      <c r="B13" s="33">
        <f>(B6*($H$6/$H$10))+(C6*($H$5/$H$11))</f>
        <v>11534329741137.574</v>
      </c>
      <c r="C13" s="33">
        <f>(C6*($H$7/$H$11))+(D6*($H$5/$H$11))</f>
        <v>12830212539221.725</v>
      </c>
      <c r="D13" s="33">
        <f>(D6*($H$7/$H$11))+(E6*($H$5/$H$11))</f>
        <v>14818219139534.488</v>
      </c>
      <c r="H13" s="3"/>
      <c r="I13" s="3"/>
      <c r="J13" s="3"/>
      <c r="K13" s="3"/>
    </row>
    <row r="14" spans="1:11" ht="31.95" customHeight="1">
      <c r="H14" s="4"/>
      <c r="I14" s="3"/>
      <c r="J14" s="3"/>
      <c r="K14" s="3"/>
    </row>
    <row r="15" spans="1:11" ht="30" customHeight="1">
      <c r="A15" s="602" t="s">
        <v>500</v>
      </c>
      <c r="B15" s="602"/>
      <c r="C15" s="602"/>
      <c r="D15" s="602"/>
      <c r="E15" s="602"/>
      <c r="F15" s="137"/>
      <c r="H15" s="4"/>
      <c r="I15" s="3"/>
      <c r="J15" s="3"/>
      <c r="K15" s="3"/>
    </row>
    <row r="16" spans="1:11" ht="49.95" customHeight="1">
      <c r="A16" s="136" t="s">
        <v>203</v>
      </c>
      <c r="B16" s="135"/>
      <c r="C16" s="31" t="s">
        <v>201</v>
      </c>
      <c r="E16" s="31" t="s">
        <v>202</v>
      </c>
    </row>
    <row r="17" spans="1:5" ht="36" customHeight="1">
      <c r="A17" s="50" t="s">
        <v>331</v>
      </c>
      <c r="B17" s="48"/>
      <c r="C17" s="30" t="s">
        <v>157</v>
      </c>
      <c r="E17" s="30" t="s">
        <v>157</v>
      </c>
    </row>
    <row r="18" spans="1:5" ht="45" customHeight="1">
      <c r="A18" s="33">
        <f>D13/(IMF!D35*IMF!C35)</f>
        <v>13167674655990.936</v>
      </c>
      <c r="B18" s="49"/>
      <c r="C18" s="33">
        <f>C13/IMF!C35</f>
        <v>12160532039790.465</v>
      </c>
      <c r="E18" s="33">
        <f>C12/IMF!C35</f>
        <v>8477114122125.9814</v>
      </c>
    </row>
    <row r="19" spans="1:5" ht="30" customHeight="1"/>
    <row r="20" spans="1:5" ht="30" customHeight="1">
      <c r="A20" s="601" t="s">
        <v>501</v>
      </c>
      <c r="B20" s="601"/>
      <c r="C20" s="601"/>
      <c r="D20" s="601"/>
    </row>
    <row r="21" spans="1:5" ht="30" customHeight="1">
      <c r="A21" s="600" t="s">
        <v>182</v>
      </c>
      <c r="B21" s="600"/>
      <c r="C21" s="600"/>
      <c r="D21" s="600"/>
    </row>
    <row r="22" spans="1:5" ht="30" customHeight="1">
      <c r="A22" s="31"/>
      <c r="B22" s="30">
        <v>2020</v>
      </c>
      <c r="C22" s="30">
        <v>2021</v>
      </c>
      <c r="D22" s="30">
        <v>2022</v>
      </c>
    </row>
    <row r="23" spans="1:5" ht="30" customHeight="1">
      <c r="A23" s="30" t="s">
        <v>173</v>
      </c>
      <c r="B23" s="33">
        <f>B11/IMF!$F$35</f>
        <v>752003793783.19141</v>
      </c>
      <c r="C23" s="33"/>
      <c r="D23" s="33"/>
    </row>
    <row r="24" spans="1:5" ht="28.95" customHeight="1">
      <c r="A24" s="30" t="s">
        <v>174</v>
      </c>
      <c r="B24" s="33">
        <f>B12/IMF!$F$35</f>
        <v>359628648051.85657</v>
      </c>
      <c r="C24" s="33">
        <f>E18/IMF!F35</f>
        <v>389072614380.66742</v>
      </c>
      <c r="D24" s="33"/>
    </row>
    <row r="25" spans="1:5" ht="28.05" customHeight="1">
      <c r="A25" s="30" t="s">
        <v>175</v>
      </c>
      <c r="B25" s="33">
        <f>B13/IMF!$F$35</f>
        <v>529389101392.39832</v>
      </c>
      <c r="C25" s="33">
        <f>C18/IMF!F35</f>
        <v>558129798044.35767</v>
      </c>
      <c r="D25" s="33">
        <f>A18/IMF!F35</f>
        <v>604354445382.36353</v>
      </c>
    </row>
    <row r="29" spans="1:5">
      <c r="A29" s="598" t="s">
        <v>491</v>
      </c>
      <c r="B29" s="598"/>
      <c r="C29" s="59"/>
      <c r="D29" s="59"/>
    </row>
    <row r="30" spans="1:5">
      <c r="A30" s="598" t="s">
        <v>172</v>
      </c>
      <c r="B30" s="598"/>
      <c r="C30" s="598"/>
      <c r="D30" s="598"/>
    </row>
    <row r="31" spans="1:5">
      <c r="A31" s="599" t="s">
        <v>176</v>
      </c>
      <c r="B31" s="599"/>
      <c r="C31" s="599"/>
      <c r="D31" s="599"/>
    </row>
    <row r="32" spans="1:5">
      <c r="B32"/>
      <c r="C32"/>
      <c r="D32"/>
    </row>
  </sheetData>
  <mergeCells count="9">
    <mergeCell ref="A30:D30"/>
    <mergeCell ref="A31:D31"/>
    <mergeCell ref="A29:B29"/>
    <mergeCell ref="A21:D21"/>
    <mergeCell ref="A2:E2"/>
    <mergeCell ref="A9:D9"/>
    <mergeCell ref="A8:D8"/>
    <mergeCell ref="A15:E15"/>
    <mergeCell ref="A20:D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EED8-E48F-C74E-AC35-2EA789CE842E}">
  <dimension ref="A2:C16"/>
  <sheetViews>
    <sheetView zoomScale="80" zoomScaleNormal="80" workbookViewId="0">
      <selection activeCell="F14" sqref="F14"/>
    </sheetView>
  </sheetViews>
  <sheetFormatPr defaultColWidth="11.19921875" defaultRowHeight="15.6"/>
  <cols>
    <col min="1" max="1" width="30.796875" customWidth="1"/>
    <col min="2" max="2" width="25" customWidth="1"/>
    <col min="3" max="3" width="22.296875" customWidth="1"/>
  </cols>
  <sheetData>
    <row r="2" spans="1:3">
      <c r="A2" s="603" t="s">
        <v>182</v>
      </c>
      <c r="B2" s="604"/>
      <c r="C2" s="605"/>
    </row>
    <row r="3" spans="1:3" ht="45" customHeight="1">
      <c r="A3" s="31"/>
      <c r="B3" s="30">
        <v>2020</v>
      </c>
      <c r="C3" s="30">
        <v>2021</v>
      </c>
    </row>
    <row r="4" spans="1:3" ht="49.95" customHeight="1">
      <c r="A4" s="30" t="s">
        <v>521</v>
      </c>
      <c r="B4" s="33">
        <f>88187.7*1000000</f>
        <v>88187700000</v>
      </c>
      <c r="C4" s="33">
        <f>98792.8*1000000</f>
        <v>98792800000</v>
      </c>
    </row>
    <row r="8" spans="1:3">
      <c r="A8" s="280" t="s">
        <v>500</v>
      </c>
      <c r="B8" s="137"/>
      <c r="C8" s="137"/>
    </row>
    <row r="9" spans="1:3" ht="63" customHeight="1">
      <c r="A9" s="136" t="s">
        <v>522</v>
      </c>
      <c r="B9" s="135"/>
      <c r="C9" s="4"/>
    </row>
    <row r="10" spans="1:3" ht="34.049999999999997" customHeight="1">
      <c r="A10" s="50" t="s">
        <v>331</v>
      </c>
      <c r="B10" s="48"/>
      <c r="C10" s="3"/>
    </row>
    <row r="11" spans="1:3" ht="37.950000000000003" customHeight="1">
      <c r="A11" s="33">
        <f>C4/IMF!C77</f>
        <v>94373298434.32077</v>
      </c>
      <c r="B11" s="49"/>
      <c r="C11" s="34"/>
    </row>
    <row r="15" spans="1:3">
      <c r="A15" t="s">
        <v>491</v>
      </c>
    </row>
    <row r="16" spans="1:3">
      <c r="A16" t="s">
        <v>520</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19D94-22AF-D846-B581-48C8D600D266}">
  <dimension ref="A3:H20"/>
  <sheetViews>
    <sheetView zoomScale="80" zoomScaleNormal="80" workbookViewId="0">
      <selection activeCell="I14" sqref="I14"/>
    </sheetView>
  </sheetViews>
  <sheetFormatPr defaultColWidth="11.19921875" defaultRowHeight="15.6"/>
  <cols>
    <col min="2" max="2" width="7.296875" customWidth="1"/>
    <col min="3" max="3" width="6.796875" customWidth="1"/>
  </cols>
  <sheetData>
    <row r="3" spans="2:8" ht="30" customHeight="1">
      <c r="B3" s="609" t="s">
        <v>441</v>
      </c>
      <c r="C3" s="610"/>
      <c r="D3" s="611"/>
      <c r="F3" s="609" t="s">
        <v>441</v>
      </c>
      <c r="G3" s="610"/>
      <c r="H3" s="611"/>
    </row>
    <row r="4" spans="2:8" ht="30" customHeight="1">
      <c r="B4" s="606" t="s">
        <v>445</v>
      </c>
      <c r="C4" s="607"/>
      <c r="D4" s="608"/>
      <c r="F4" s="606" t="s">
        <v>446</v>
      </c>
      <c r="G4" s="607"/>
      <c r="H4" s="608"/>
    </row>
    <row r="5" spans="2:8" ht="30" customHeight="1">
      <c r="B5" s="219" t="s">
        <v>439</v>
      </c>
      <c r="C5" s="220">
        <v>10.4848</v>
      </c>
      <c r="D5" s="221" t="s">
        <v>440</v>
      </c>
      <c r="F5" s="219" t="s">
        <v>439</v>
      </c>
      <c r="G5" s="220">
        <v>10.315300000000001</v>
      </c>
      <c r="H5" s="221" t="s">
        <v>440</v>
      </c>
    </row>
    <row r="6" spans="2:8" ht="30" customHeight="1"/>
    <row r="7" spans="2:8" ht="30" customHeight="1"/>
    <row r="8" spans="2:8" ht="30" customHeight="1">
      <c r="B8" s="609" t="s">
        <v>442</v>
      </c>
      <c r="C8" s="610"/>
      <c r="D8" s="611"/>
    </row>
    <row r="9" spans="2:8" ht="30" customHeight="1">
      <c r="B9" s="606" t="s">
        <v>446</v>
      </c>
      <c r="C9" s="607"/>
      <c r="D9" s="608"/>
    </row>
    <row r="10" spans="2:8" ht="30" customHeight="1">
      <c r="B10" s="219" t="s">
        <v>439</v>
      </c>
      <c r="C10" s="220">
        <v>10.442500000000001</v>
      </c>
      <c r="D10" s="221" t="s">
        <v>443</v>
      </c>
    </row>
    <row r="11" spans="2:8" ht="30" customHeight="1"/>
    <row r="12" spans="2:8" ht="30" customHeight="1"/>
    <row r="13" spans="2:8" ht="30" customHeight="1">
      <c r="B13" s="609" t="s">
        <v>444</v>
      </c>
      <c r="C13" s="610"/>
      <c r="D13" s="611"/>
    </row>
    <row r="14" spans="2:8" ht="30" customHeight="1">
      <c r="B14" s="606" t="s">
        <v>446</v>
      </c>
      <c r="C14" s="607"/>
      <c r="D14" s="608"/>
    </row>
    <row r="15" spans="2:8" ht="30" customHeight="1">
      <c r="B15" s="219" t="s">
        <v>439</v>
      </c>
      <c r="C15" s="220">
        <v>152.37</v>
      </c>
      <c r="D15" s="221" t="s">
        <v>440</v>
      </c>
    </row>
    <row r="19" spans="1:1">
      <c r="A19" t="s">
        <v>491</v>
      </c>
    </row>
    <row r="20" spans="1:1">
      <c r="A20" t="s">
        <v>492</v>
      </c>
    </row>
  </sheetData>
  <mergeCells count="8">
    <mergeCell ref="B14:D14"/>
    <mergeCell ref="F3:H3"/>
    <mergeCell ref="F4:H4"/>
    <mergeCell ref="B3:D3"/>
    <mergeCell ref="B8:D8"/>
    <mergeCell ref="B13:D13"/>
    <mergeCell ref="B4:D4"/>
    <mergeCell ref="B9:D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7E78C-6154-1749-93B3-335D763C4652}">
  <dimension ref="A2:R33"/>
  <sheetViews>
    <sheetView zoomScale="80" zoomScaleNormal="80" workbookViewId="0">
      <selection activeCell="F13" sqref="F13"/>
    </sheetView>
  </sheetViews>
  <sheetFormatPr defaultColWidth="10.796875" defaultRowHeight="15.6"/>
  <cols>
    <col min="1" max="1" width="18.19921875" style="23" customWidth="1"/>
    <col min="2" max="2" width="23.19921875" style="23" customWidth="1"/>
    <col min="3" max="3" width="24.5" style="23" customWidth="1"/>
    <col min="4" max="4" width="15.69921875" style="23" customWidth="1"/>
    <col min="5" max="5" width="15.19921875" style="23" customWidth="1"/>
    <col min="6" max="6" width="29.296875" style="23" customWidth="1"/>
    <col min="7" max="7" width="24.296875" style="23" customWidth="1"/>
    <col min="8" max="8" width="18.69921875" style="23" customWidth="1"/>
    <col min="9" max="9" width="21" style="23" customWidth="1"/>
    <col min="10" max="10" width="18.19921875" style="23" customWidth="1"/>
    <col min="11" max="11" width="16.796875" style="23" customWidth="1"/>
    <col min="12" max="12" width="19.796875" style="23" customWidth="1"/>
    <col min="13" max="13" width="24.296875" style="23" customWidth="1"/>
    <col min="14" max="14" width="11.19921875" style="23" customWidth="1"/>
    <col min="15" max="15" width="30" style="23" customWidth="1"/>
    <col min="16" max="16" width="20" style="23" customWidth="1"/>
    <col min="17" max="17" width="24" style="23" customWidth="1"/>
    <col min="18" max="18" width="26" style="23" customWidth="1"/>
    <col min="19" max="16384" width="10.796875" style="23"/>
  </cols>
  <sheetData>
    <row r="2" spans="1:18" ht="25.05" customHeight="1">
      <c r="A2" s="612" t="s">
        <v>155</v>
      </c>
      <c r="B2" s="612"/>
      <c r="C2" s="612"/>
      <c r="E2" s="613" t="s">
        <v>155</v>
      </c>
      <c r="F2" s="613"/>
      <c r="G2" s="613"/>
      <c r="I2" s="612" t="s">
        <v>155</v>
      </c>
      <c r="J2" s="612"/>
      <c r="L2" s="613" t="s">
        <v>155</v>
      </c>
      <c r="M2" s="613"/>
      <c r="R2" s="132"/>
    </row>
    <row r="3" spans="1:18" ht="61.95" customHeight="1">
      <c r="A3" s="612" t="s">
        <v>371</v>
      </c>
      <c r="B3" s="612"/>
      <c r="C3" s="612"/>
      <c r="E3" s="613" t="s">
        <v>161</v>
      </c>
      <c r="F3" s="613"/>
      <c r="G3" s="613"/>
      <c r="I3" s="612" t="s">
        <v>15</v>
      </c>
      <c r="J3" s="612"/>
      <c r="L3" s="614" t="s">
        <v>16</v>
      </c>
      <c r="M3" s="615"/>
      <c r="P3" s="132"/>
      <c r="R3" s="58"/>
    </row>
    <row r="4" spans="1:18" ht="25.05" customHeight="1">
      <c r="A4" s="131"/>
      <c r="B4" s="131" t="s">
        <v>9</v>
      </c>
      <c r="C4" s="131" t="s">
        <v>10</v>
      </c>
      <c r="E4" s="129"/>
      <c r="F4" s="129" t="s">
        <v>9</v>
      </c>
      <c r="G4" s="129" t="s">
        <v>10</v>
      </c>
      <c r="I4" s="131" t="s">
        <v>13</v>
      </c>
      <c r="J4" s="131">
        <v>55171</v>
      </c>
      <c r="L4" s="129" t="s">
        <v>13</v>
      </c>
      <c r="M4" s="129">
        <v>55174</v>
      </c>
      <c r="P4" s="132"/>
    </row>
    <row r="5" spans="1:18" ht="25.05" customHeight="1">
      <c r="A5" s="131" t="s">
        <v>318</v>
      </c>
      <c r="B5" s="131">
        <v>6412235</v>
      </c>
      <c r="C5" s="131">
        <v>3714824</v>
      </c>
      <c r="E5" s="129" t="s">
        <v>318</v>
      </c>
      <c r="F5" s="129">
        <v>65919035</v>
      </c>
      <c r="G5" s="129">
        <v>38691626</v>
      </c>
    </row>
    <row r="6" spans="1:18" ht="25.05" customHeight="1">
      <c r="A6" s="131" t="s">
        <v>319</v>
      </c>
      <c r="B6" s="131">
        <v>30687798</v>
      </c>
      <c r="C6" s="131">
        <v>23175408</v>
      </c>
      <c r="E6" s="129" t="s">
        <v>319</v>
      </c>
      <c r="F6" s="129">
        <v>314960833</v>
      </c>
      <c r="G6" s="129">
        <v>238143382</v>
      </c>
    </row>
    <row r="7" spans="1:18" ht="25.05" customHeight="1">
      <c r="A7" s="131" t="s">
        <v>320</v>
      </c>
      <c r="B7" s="131">
        <v>135232896</v>
      </c>
      <c r="C7" s="131">
        <v>68065679</v>
      </c>
      <c r="E7" s="129" t="s">
        <v>320</v>
      </c>
      <c r="F7" s="129">
        <v>1386719578</v>
      </c>
      <c r="G7" s="129">
        <v>698433834</v>
      </c>
    </row>
    <row r="8" spans="1:18" ht="25.05" customHeight="1">
      <c r="A8" s="131" t="s">
        <v>321</v>
      </c>
      <c r="B8" s="131">
        <v>275500238</v>
      </c>
      <c r="C8" s="131">
        <v>178696130</v>
      </c>
      <c r="E8" s="129" t="s">
        <v>321</v>
      </c>
      <c r="F8" s="129">
        <v>2826578132</v>
      </c>
      <c r="G8" s="129">
        <v>1833288349</v>
      </c>
    </row>
    <row r="9" spans="1:18" ht="25.05" customHeight="1">
      <c r="A9" s="131" t="s">
        <v>322</v>
      </c>
      <c r="B9" s="131">
        <v>92458934</v>
      </c>
      <c r="C9" s="131">
        <v>85121669</v>
      </c>
      <c r="E9" s="129" t="s">
        <v>322</v>
      </c>
      <c r="F9" s="129">
        <v>948556779</v>
      </c>
      <c r="G9" s="129">
        <v>873141262</v>
      </c>
    </row>
    <row r="10" spans="1:18" ht="24" customHeight="1">
      <c r="A10" s="44"/>
      <c r="B10" s="44"/>
      <c r="C10" s="44"/>
    </row>
    <row r="11" spans="1:18" ht="25.95" customHeight="1">
      <c r="A11" s="44"/>
      <c r="B11" s="44"/>
      <c r="C11" s="44"/>
    </row>
    <row r="12" spans="1:18" ht="22.95" customHeight="1">
      <c r="A12" s="612" t="s">
        <v>465</v>
      </c>
      <c r="B12" s="612"/>
      <c r="C12" s="612"/>
      <c r="D12" s="612"/>
      <c r="E12" s="612"/>
      <c r="F12" s="612"/>
      <c r="G12" s="612"/>
      <c r="H12" s="612"/>
      <c r="I12" s="612"/>
      <c r="J12" s="613" t="s">
        <v>161</v>
      </c>
      <c r="K12" s="613"/>
      <c r="L12" s="613"/>
      <c r="M12" s="613"/>
      <c r="N12" s="613"/>
      <c r="O12" s="613"/>
      <c r="P12" s="613"/>
      <c r="Q12" s="613"/>
      <c r="R12" s="613"/>
    </row>
    <row r="13" spans="1:18" ht="75" customHeight="1">
      <c r="A13" s="131" t="s">
        <v>119</v>
      </c>
      <c r="B13" s="131" t="s">
        <v>115</v>
      </c>
      <c r="C13" s="131" t="s">
        <v>9</v>
      </c>
      <c r="D13" s="131" t="s">
        <v>10</v>
      </c>
      <c r="E13" s="131"/>
      <c r="F13" s="131" t="s">
        <v>498</v>
      </c>
      <c r="G13" s="131" t="s">
        <v>116</v>
      </c>
      <c r="H13" s="131" t="s">
        <v>9</v>
      </c>
      <c r="I13" s="131" t="s">
        <v>10</v>
      </c>
      <c r="J13" s="130" t="s">
        <v>119</v>
      </c>
      <c r="K13" s="129" t="s">
        <v>115</v>
      </c>
      <c r="L13" s="129" t="s">
        <v>9</v>
      </c>
      <c r="M13" s="129" t="s">
        <v>10</v>
      </c>
      <c r="N13" s="129"/>
      <c r="O13" s="129" t="s">
        <v>122</v>
      </c>
      <c r="P13" s="129" t="s">
        <v>116</v>
      </c>
      <c r="Q13" s="129" t="s">
        <v>9</v>
      </c>
      <c r="R13" s="129" t="s">
        <v>10</v>
      </c>
    </row>
    <row r="14" spans="1:18" ht="55.95" customHeight="1">
      <c r="A14" s="131" t="s">
        <v>120</v>
      </c>
      <c r="B14" s="131">
        <f>ROUND(9/15,2)</f>
        <v>0.6</v>
      </c>
      <c r="C14" s="131">
        <f>$B$7*B14</f>
        <v>81139737.599999994</v>
      </c>
      <c r="D14" s="131">
        <f>$C$7*B14</f>
        <v>40839407.399999999</v>
      </c>
      <c r="E14" s="131"/>
      <c r="F14" s="131" t="s">
        <v>123</v>
      </c>
      <c r="G14" s="131">
        <f>ROUND(14/15,2)</f>
        <v>0.93</v>
      </c>
      <c r="H14" s="131">
        <f>$B$8*G14</f>
        <v>256215221.34</v>
      </c>
      <c r="I14" s="131">
        <f>$C$8*G14</f>
        <v>166187400.90000001</v>
      </c>
      <c r="J14" s="129" t="s">
        <v>120</v>
      </c>
      <c r="K14" s="129">
        <f>ROUND(9/15,2)</f>
        <v>0.6</v>
      </c>
      <c r="L14" s="129">
        <f>$F$7*K14</f>
        <v>832031746.79999995</v>
      </c>
      <c r="M14" s="129">
        <f>$G$7*K14</f>
        <v>419060300.39999998</v>
      </c>
      <c r="N14" s="129"/>
      <c r="O14" s="129" t="s">
        <v>123</v>
      </c>
      <c r="P14" s="129">
        <f>ROUND(14/15,2)</f>
        <v>0.93</v>
      </c>
      <c r="Q14" s="129">
        <f>$F$8*P14</f>
        <v>2628717662.7600002</v>
      </c>
      <c r="R14" s="129">
        <f>$G$8*P14</f>
        <v>1704958164.5700002</v>
      </c>
    </row>
    <row r="15" spans="1:18" ht="46.95" customHeight="1">
      <c r="A15" s="131" t="s">
        <v>121</v>
      </c>
      <c r="B15" s="131">
        <f>1-B14</f>
        <v>0.4</v>
      </c>
      <c r="C15" s="131">
        <f>$B$7*B15</f>
        <v>54093158.400000006</v>
      </c>
      <c r="D15" s="131">
        <f>$C$7*B15</f>
        <v>27226271.600000001</v>
      </c>
      <c r="E15" s="131"/>
      <c r="F15" s="131" t="s">
        <v>124</v>
      </c>
      <c r="G15" s="131">
        <f>1-G14</f>
        <v>6.9999999999999951E-2</v>
      </c>
      <c r="H15" s="131">
        <f>$B$8*G15</f>
        <v>19285016.659999985</v>
      </c>
      <c r="I15" s="131">
        <f>$C$8*G15</f>
        <v>12508729.099999992</v>
      </c>
      <c r="J15" s="129" t="s">
        <v>121</v>
      </c>
      <c r="K15" s="129">
        <f>1-K14</f>
        <v>0.4</v>
      </c>
      <c r="L15" s="129">
        <f>$F$7*K15</f>
        <v>554687831.20000005</v>
      </c>
      <c r="M15" s="129">
        <f>$G$7*K15</f>
        <v>279373533.60000002</v>
      </c>
      <c r="N15" s="129"/>
      <c r="O15" s="129" t="s">
        <v>124</v>
      </c>
      <c r="P15" s="129">
        <f>1-P14</f>
        <v>6.9999999999999951E-2</v>
      </c>
      <c r="Q15" s="129">
        <f>$F$8*P15</f>
        <v>197860469.23999986</v>
      </c>
      <c r="R15" s="129">
        <f>$G$8*P15</f>
        <v>128330184.42999992</v>
      </c>
    </row>
    <row r="16" spans="1:18">
      <c r="I16" s="26"/>
      <c r="Q16" s="24"/>
    </row>
    <row r="20" spans="1:7" ht="25.05" customHeight="1">
      <c r="A20" s="612" t="s">
        <v>324</v>
      </c>
      <c r="B20" s="612"/>
      <c r="C20" s="612"/>
      <c r="E20" s="613" t="s">
        <v>324</v>
      </c>
      <c r="F20" s="613"/>
      <c r="G20" s="613"/>
    </row>
    <row r="21" spans="1:7" ht="25.05" customHeight="1">
      <c r="A21" s="612" t="s">
        <v>465</v>
      </c>
      <c r="B21" s="612"/>
      <c r="C21" s="612"/>
      <c r="E21" s="613" t="s">
        <v>325</v>
      </c>
      <c r="F21" s="613"/>
      <c r="G21" s="613"/>
    </row>
    <row r="22" spans="1:7" ht="25.05" customHeight="1">
      <c r="A22" s="131"/>
      <c r="B22" s="131" t="s">
        <v>9</v>
      </c>
      <c r="C22" s="131" t="s">
        <v>10</v>
      </c>
      <c r="E22" s="129"/>
      <c r="F22" s="129" t="s">
        <v>9</v>
      </c>
      <c r="G22" s="129" t="s">
        <v>10</v>
      </c>
    </row>
    <row r="23" spans="1:7" ht="25.05" customHeight="1">
      <c r="A23" s="131" t="s">
        <v>11</v>
      </c>
      <c r="B23" s="131">
        <f>B5+B6+C14</f>
        <v>118239770.59999999</v>
      </c>
      <c r="C23" s="131">
        <f>C5+C6+D14</f>
        <v>67729639.400000006</v>
      </c>
      <c r="E23" s="129" t="s">
        <v>11</v>
      </c>
      <c r="F23" s="129">
        <f>F5+F6+L14</f>
        <v>1212911614.8</v>
      </c>
      <c r="G23" s="129">
        <f>G5+G6+M14</f>
        <v>695895308.39999998</v>
      </c>
    </row>
    <row r="24" spans="1:7" ht="25.05" customHeight="1">
      <c r="A24" s="131" t="s">
        <v>14</v>
      </c>
      <c r="B24" s="131">
        <f>C15+H14</f>
        <v>310308379.74000001</v>
      </c>
      <c r="C24" s="131">
        <f>D15+I14</f>
        <v>193413672.5</v>
      </c>
      <c r="E24" s="129" t="s">
        <v>14</v>
      </c>
      <c r="F24" s="129">
        <f>L15+Q14</f>
        <v>3183405493.96</v>
      </c>
      <c r="G24" s="129">
        <f>M15+R14</f>
        <v>1984331698.1700001</v>
      </c>
    </row>
    <row r="25" spans="1:7" ht="25.05" customHeight="1">
      <c r="A25" s="131" t="s">
        <v>12</v>
      </c>
      <c r="B25" s="131">
        <f>H15+B9</f>
        <v>111743950.65999998</v>
      </c>
      <c r="C25" s="131">
        <f>I15+C9</f>
        <v>97630398.099999994</v>
      </c>
      <c r="E25" s="129" t="s">
        <v>12</v>
      </c>
      <c r="F25" s="129">
        <f>Q15+F9</f>
        <v>1146417248.2399998</v>
      </c>
      <c r="G25" s="129">
        <f>R15+G9</f>
        <v>1001471446.4299999</v>
      </c>
    </row>
    <row r="26" spans="1:7" ht="25.05" customHeight="1"/>
    <row r="27" spans="1:7" ht="25.05" customHeight="1"/>
    <row r="28" spans="1:7" ht="25.05" customHeight="1"/>
    <row r="29" spans="1:7" ht="25.05" customHeight="1"/>
    <row r="30" spans="1:7" ht="25.05" customHeight="1"/>
    <row r="31" spans="1:7" ht="25.05" customHeight="1"/>
    <row r="32" spans="1:7" ht="25.05" customHeight="1"/>
    <row r="33" ht="25.05" customHeight="1"/>
  </sheetData>
  <mergeCells count="14">
    <mergeCell ref="I2:J2"/>
    <mergeCell ref="I3:J3"/>
    <mergeCell ref="A20:C20"/>
    <mergeCell ref="A21:C21"/>
    <mergeCell ref="E20:G20"/>
    <mergeCell ref="E21:G21"/>
    <mergeCell ref="J12:R12"/>
    <mergeCell ref="A12:I12"/>
    <mergeCell ref="A2:C2"/>
    <mergeCell ref="A3:C3"/>
    <mergeCell ref="E2:G2"/>
    <mergeCell ref="E3:G3"/>
    <mergeCell ref="L2:M2"/>
    <mergeCell ref="L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41</vt:i4>
      </vt:variant>
    </vt:vector>
  </HeadingPairs>
  <TitlesOfParts>
    <vt:vector size="41" baseType="lpstr">
      <vt:lpstr>Info</vt:lpstr>
      <vt:lpstr>Read_me</vt:lpstr>
      <vt:lpstr>Tot_val</vt:lpstr>
      <vt:lpstr>Age_int</vt:lpstr>
      <vt:lpstr>IMF</vt:lpstr>
      <vt:lpstr>GSDP_India</vt:lpstr>
      <vt:lpstr>GDSP_USA</vt:lpstr>
      <vt:lpstr>Exch_rates</vt:lpstr>
      <vt:lpstr>ID_2</vt:lpstr>
      <vt:lpstr>ID_3</vt:lpstr>
      <vt:lpstr>ID_6</vt:lpstr>
      <vt:lpstr>ID_7</vt:lpstr>
      <vt:lpstr>ID_8</vt:lpstr>
      <vt:lpstr>ID_9</vt:lpstr>
      <vt:lpstr>ID_10</vt:lpstr>
      <vt:lpstr>ID_11</vt:lpstr>
      <vt:lpstr>ID_12</vt:lpstr>
      <vt:lpstr>ID_13</vt:lpstr>
      <vt:lpstr>ID_14</vt:lpstr>
      <vt:lpstr>ID_15</vt:lpstr>
      <vt:lpstr>ID_16</vt:lpstr>
      <vt:lpstr>ID_17</vt:lpstr>
      <vt:lpstr>ID_18</vt:lpstr>
      <vt:lpstr>ID_19</vt:lpstr>
      <vt:lpstr>ID_20</vt:lpstr>
      <vt:lpstr>ID_21</vt:lpstr>
      <vt:lpstr>ID_22</vt:lpstr>
      <vt:lpstr>ID_23</vt:lpstr>
      <vt:lpstr>ID_24</vt:lpstr>
      <vt:lpstr>ID_25</vt:lpstr>
      <vt:lpstr>ID_26</vt:lpstr>
      <vt:lpstr>ID_27</vt:lpstr>
      <vt:lpstr>ID_29</vt:lpstr>
      <vt:lpstr>ID_30</vt:lpstr>
      <vt:lpstr>ID_31</vt:lpstr>
      <vt:lpstr>ID_32</vt:lpstr>
      <vt:lpstr>ID_33</vt:lpstr>
      <vt:lpstr>ID_34</vt:lpstr>
      <vt:lpstr>ID_35</vt:lpstr>
      <vt:lpstr>ID_36</vt:lpstr>
      <vt:lpstr>ID_38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nomski1113@outlook.com</dc:creator>
  <cp:lastModifiedBy>blazej@o365.cm.umk.pl</cp:lastModifiedBy>
  <dcterms:created xsi:type="dcterms:W3CDTF">2024-02-04T16:28:21Z</dcterms:created>
  <dcterms:modified xsi:type="dcterms:W3CDTF">2024-08-03T09:46:56Z</dcterms:modified>
</cp:coreProperties>
</file>